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k\OneDrive\Desktop\MAE 3306\Homeworks\HW5\"/>
    </mc:Choice>
  </mc:AlternateContent>
  <xr:revisionPtr revIDLastSave="0" documentId="13_ncr:1_{8AB042C2-3C61-44D4-84ED-9824031063BF}" xr6:coauthVersionLast="47" xr6:coauthVersionMax="47" xr10:uidLastSave="{00000000-0000-0000-0000-000000000000}"/>
  <bookViews>
    <workbookView xWindow="28680" yWindow="-120" windowWidth="29040" windowHeight="15840" xr2:uid="{F603EA2F-84E9-4847-91BB-9303980D4DC6}"/>
  </bookViews>
  <sheets>
    <sheet name="Template Fill Up" sheetId="1" r:id="rId1"/>
    <sheet name="Scale factors" sheetId="11" r:id="rId2"/>
    <sheet name="Standard Atmosphere" sheetId="2" r:id="rId3"/>
    <sheet name="Reynolds Number" sheetId="13" r:id="rId4"/>
    <sheet name="Top Front View" sheetId="3" r:id="rId5"/>
    <sheet name="Side View A-E" sheetId="1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1" l="1"/>
  <c r="B30" i="1"/>
  <c r="D30" i="1"/>
  <c r="C32" i="1"/>
  <c r="B32" i="1"/>
  <c r="C33" i="1"/>
  <c r="B33" i="1"/>
  <c r="F33" i="1"/>
  <c r="D33" i="1"/>
  <c r="N15" i="1"/>
  <c r="N14" i="1"/>
  <c r="N13" i="1"/>
  <c r="Y4" i="11"/>
  <c r="J48" i="1"/>
  <c r="H48" i="1"/>
  <c r="G48" i="1"/>
  <c r="F36" i="1"/>
  <c r="B43" i="1"/>
  <c r="C43" i="1" s="1"/>
  <c r="L30" i="13"/>
  <c r="L32" i="13"/>
  <c r="L33" i="13" s="1"/>
  <c r="B42" i="1"/>
  <c r="C42" i="1" s="1"/>
  <c r="L25" i="13"/>
  <c r="L22" i="13"/>
  <c r="D17" i="13"/>
  <c r="I17" i="10"/>
  <c r="I16" i="10"/>
  <c r="D16" i="13"/>
  <c r="J23" i="3"/>
  <c r="J22" i="3"/>
  <c r="L24" i="13"/>
  <c r="D20" i="1"/>
  <c r="I15" i="1"/>
  <c r="F15" i="1"/>
  <c r="E15" i="1"/>
  <c r="G15" i="1" s="1"/>
  <c r="D43" i="1" s="1"/>
  <c r="R30" i="10"/>
  <c r="R29" i="10"/>
  <c r="R27" i="10"/>
  <c r="R26" i="10"/>
  <c r="T29" i="10"/>
  <c r="F14" i="1"/>
  <c r="E14" i="1"/>
  <c r="K30" i="10"/>
  <c r="K29" i="10"/>
  <c r="K27" i="10"/>
  <c r="K26" i="10"/>
  <c r="M26" i="10" s="1"/>
  <c r="M29" i="10"/>
  <c r="C3" i="10"/>
  <c r="F3" i="10"/>
  <c r="I3" i="10"/>
  <c r="L3" i="10"/>
  <c r="O3" i="10"/>
  <c r="R3" i="10"/>
  <c r="B48" i="1"/>
  <c r="G24" i="13"/>
  <c r="B41" i="1"/>
  <c r="C41" i="1" s="1"/>
  <c r="D29" i="10"/>
  <c r="D26" i="10"/>
  <c r="F26" i="10" s="1"/>
  <c r="E13" i="1" s="1"/>
  <c r="B64" i="1" s="1"/>
  <c r="D21" i="10"/>
  <c r="D18" i="10"/>
  <c r="U13" i="10"/>
  <c r="F13" i="1"/>
  <c r="F29" i="10"/>
  <c r="D30" i="10"/>
  <c r="D27" i="10"/>
  <c r="F20" i="10"/>
  <c r="D20" i="10"/>
  <c r="F16" i="10"/>
  <c r="B15" i="1" s="1"/>
  <c r="D17" i="10"/>
  <c r="D16" i="10"/>
  <c r="J13" i="1"/>
  <c r="I20" i="1"/>
  <c r="F48" i="1" s="1"/>
  <c r="H20" i="1"/>
  <c r="C20" i="1" s="1"/>
  <c r="E20" i="1" s="1"/>
  <c r="E48" i="1" s="1"/>
  <c r="B14" i="1"/>
  <c r="I14" i="1" s="1"/>
  <c r="K14" i="1" s="1"/>
  <c r="B13" i="1"/>
  <c r="I13" i="1" s="1"/>
  <c r="K13" i="1" s="1"/>
  <c r="F16" i="3"/>
  <c r="G13" i="3"/>
  <c r="F13" i="3"/>
  <c r="D16" i="3"/>
  <c r="G16" i="3" s="1"/>
  <c r="D17" i="3"/>
  <c r="D14" i="3"/>
  <c r="D13" i="3"/>
  <c r="F22" i="3"/>
  <c r="F29" i="3"/>
  <c r="F26" i="3"/>
  <c r="D30" i="3"/>
  <c r="D29" i="3"/>
  <c r="G29" i="3" s="1"/>
  <c r="D27" i="3"/>
  <c r="D26" i="3"/>
  <c r="G26" i="3" s="1"/>
  <c r="D24" i="3"/>
  <c r="G22" i="3" s="1"/>
  <c r="D23" i="3"/>
  <c r="D22" i="3"/>
  <c r="J7" i="13"/>
  <c r="D15" i="13"/>
  <c r="D9" i="13"/>
  <c r="C9" i="13"/>
  <c r="C15" i="13" s="1"/>
  <c r="E12" i="2"/>
  <c r="E13" i="2"/>
  <c r="D6" i="2" s="1"/>
  <c r="E14" i="2"/>
  <c r="F5" i="3"/>
  <c r="D8" i="3"/>
  <c r="D7" i="3"/>
  <c r="D6" i="3"/>
  <c r="D5" i="3"/>
  <c r="R4" i="11"/>
  <c r="K4" i="11"/>
  <c r="D4" i="11"/>
  <c r="L4" i="10"/>
  <c r="I4" i="10"/>
  <c r="D9" i="10"/>
  <c r="F4" i="10" s="1"/>
  <c r="A60" i="1"/>
  <c r="A59" i="1"/>
  <c r="A58" i="1"/>
  <c r="A57" i="1"/>
  <c r="A56" i="1"/>
  <c r="A53" i="1"/>
  <c r="A48" i="1"/>
  <c r="A47" i="1"/>
  <c r="A40" i="1"/>
  <c r="G14" i="1" l="1"/>
  <c r="D42" i="1" s="1"/>
  <c r="D48" i="1"/>
  <c r="G20" i="1"/>
  <c r="B20" i="1"/>
  <c r="K15" i="1"/>
  <c r="G13" i="1"/>
  <c r="D41" i="1" s="1"/>
  <c r="T26" i="10"/>
  <c r="G5" i="3"/>
  <c r="R4" i="10"/>
  <c r="O4" i="10"/>
  <c r="C4" i="10"/>
</calcChain>
</file>

<file path=xl/sharedStrings.xml><?xml version="1.0" encoding="utf-8"?>
<sst xmlns="http://schemas.openxmlformats.org/spreadsheetml/2006/main" count="544" uniqueCount="285">
  <si>
    <t>Aero data worksheet</t>
  </si>
  <si>
    <t>Aircraft</t>
  </si>
  <si>
    <t>TOGW</t>
  </si>
  <si>
    <t>lbf</t>
  </si>
  <si>
    <t>engine designation</t>
  </si>
  <si>
    <t>Globe GC-1A Swift</t>
  </si>
  <si>
    <t>Fuel wt</t>
  </si>
  <si>
    <t>max thrust or horsepower</t>
  </si>
  <si>
    <t>lbf or HP</t>
  </si>
  <si>
    <t>Altitude</t>
  </si>
  <si>
    <t>ft</t>
  </si>
  <si>
    <t>True airspeed</t>
  </si>
  <si>
    <t>kts</t>
  </si>
  <si>
    <t>Item</t>
  </si>
  <si>
    <t>Airfoil</t>
  </si>
  <si>
    <t>Theo.</t>
  </si>
  <si>
    <t>Awet</t>
  </si>
  <si>
    <t>Planform</t>
  </si>
  <si>
    <t>factor</t>
  </si>
  <si>
    <t>Awet gross</t>
  </si>
  <si>
    <t>Awet covered</t>
  </si>
  <si>
    <t>Awet net</t>
  </si>
  <si>
    <t>Lifting Surfaces</t>
  </si>
  <si>
    <r>
      <t>Area (ft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</si>
  <si>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airfoil root</t>
  </si>
  <si>
    <t>airfoil tip</t>
  </si>
  <si>
    <t>T/C root</t>
  </si>
  <si>
    <t>T/C tip</t>
  </si>
  <si>
    <t>T/C avg</t>
  </si>
  <si>
    <t>Chart 11</t>
  </si>
  <si>
    <r>
      <t>(ft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</si>
  <si>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by fuselage</t>
  </si>
  <si>
    <t>Wing</t>
  </si>
  <si>
    <t>NACA</t>
  </si>
  <si>
    <t>Horizontal Tail (both sides)</t>
  </si>
  <si>
    <t>Vertical Tail</t>
  </si>
  <si>
    <t>frontal area</t>
  </si>
  <si>
    <t>perimeter</t>
  </si>
  <si>
    <t>Eq Hyd</t>
  </si>
  <si>
    <t>Diam/Length</t>
  </si>
  <si>
    <t>Bodies of Revolution</t>
  </si>
  <si>
    <t>(wing root etc)</t>
  </si>
  <si>
    <t>length,ft</t>
  </si>
  <si>
    <t xml:space="preserve"> Diam, ft</t>
  </si>
  <si>
    <t>d/l</t>
  </si>
  <si>
    <t>fuselage</t>
  </si>
  <si>
    <t>width</t>
  </si>
  <si>
    <t>length or</t>
  </si>
  <si>
    <t>Miscellaneous</t>
  </si>
  <si>
    <t>diam, ft</t>
  </si>
  <si>
    <t>Main gear strut</t>
  </si>
  <si>
    <t>Main tire</t>
  </si>
  <si>
    <t>Nose gear strut or tail strut</t>
  </si>
  <si>
    <t>Nose tire or tailwheel</t>
  </si>
  <si>
    <t>wheel cavity</t>
  </si>
  <si>
    <t>strut cavity</t>
  </si>
  <si>
    <t>landing gear door</t>
  </si>
  <si>
    <t xml:space="preserve">flap deflection </t>
  </si>
  <si>
    <t>Drag Calculations</t>
  </si>
  <si>
    <t>RN/ft</t>
  </si>
  <si>
    <t>cf friction</t>
  </si>
  <si>
    <t>Rn full-scale</t>
  </si>
  <si>
    <t>coeff</t>
  </si>
  <si>
    <t>Cd 2D test</t>
  </si>
  <si>
    <t>Rn test data</t>
  </si>
  <si>
    <t>coeff at A/D</t>
  </si>
  <si>
    <t xml:space="preserve">CD 2D </t>
  </si>
  <si>
    <r>
      <t>delta f</t>
    </r>
    <r>
      <rPr>
        <b/>
        <vertAlign val="subscript"/>
        <sz val="11"/>
        <color theme="0"/>
        <rFont val="Calibri"/>
        <family val="2"/>
        <scheme val="minor"/>
      </rPr>
      <t>e</t>
    </r>
    <r>
      <rPr>
        <b/>
        <sz val="11"/>
        <color theme="0"/>
        <rFont val="Calibri"/>
        <family val="2"/>
        <scheme val="minor"/>
      </rPr>
      <t xml:space="preserve"> of</t>
    </r>
  </si>
  <si>
    <t xml:space="preserve"> full-scale</t>
  </si>
  <si>
    <t>(Abb/Doen)</t>
  </si>
  <si>
    <t>test Rn</t>
  </si>
  <si>
    <t>Adj for Rn</t>
  </si>
  <si>
    <t>at full-sc  Rn</t>
  </si>
  <si>
    <r>
      <t>surf (ft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</si>
  <si>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CD/cf based </t>
  </si>
  <si>
    <t>on Afront</t>
  </si>
  <si>
    <t>on Awet</t>
  </si>
  <si>
    <r>
      <t>delta 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of</t>
    </r>
  </si>
  <si>
    <t>(eq 31)</t>
  </si>
  <si>
    <t>(eq 28)</t>
  </si>
  <si>
    <r>
      <t>body (ft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</si>
  <si>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CD from</t>
  </si>
  <si>
    <t>Hoerner</t>
  </si>
  <si>
    <t>basis for CD</t>
  </si>
  <si>
    <t>re-ref to wing Sref</t>
  </si>
  <si>
    <t>item (ft2)</t>
  </si>
  <si>
    <t xml:space="preserve">Main gear strut fig 38 p. 13-15 </t>
  </si>
  <si>
    <t>frontalarea</t>
  </si>
  <si>
    <t xml:space="preserve">Main tire fig 38 p. 13-15 </t>
  </si>
  <si>
    <t>flap deflection fig 20 page 6-14</t>
  </si>
  <si>
    <t>Interference factors</t>
  </si>
  <si>
    <t>DCD or multipler</t>
  </si>
  <si>
    <t>Basis area for DCD</t>
  </si>
  <si>
    <r>
      <t>item (ft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</si>
  <si>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wing/body Fig 23 p 8-10</t>
  </si>
  <si>
    <t>body/tail fig 28 p 8-12</t>
  </si>
  <si>
    <t>multiplier on</t>
  </si>
  <si>
    <t>delta CD</t>
  </si>
  <si>
    <t>Protuberance</t>
  </si>
  <si>
    <t>overall drag</t>
  </si>
  <si>
    <t>on wingSref</t>
  </si>
  <si>
    <r>
      <t>delta 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ft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</si>
  <si>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</t>
  </si>
  <si>
    <t>Total drag</t>
  </si>
  <si>
    <t xml:space="preserve">CD (on wing </t>
  </si>
  <si>
    <t>Parasite area</t>
  </si>
  <si>
    <t>(surfaces, body, miscellaneous, interference, protuberance)</t>
  </si>
  <si>
    <t>ref. area)</t>
  </si>
  <si>
    <r>
      <t>f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, ft</t>
    </r>
    <r>
      <rPr>
        <vertAlign val="superscript"/>
        <sz val="11"/>
        <color theme="1"/>
        <rFont val="Calibri"/>
        <family val="2"/>
        <scheme val="minor"/>
      </rPr>
      <t>2</t>
    </r>
  </si>
  <si>
    <r>
      <t xml:space="preserve">Scale factor based on </t>
    </r>
    <r>
      <rPr>
        <b/>
        <sz val="11"/>
        <color theme="1"/>
        <rFont val="Calibri"/>
        <family val="2"/>
        <scheme val="minor"/>
      </rPr>
      <t>fusalage</t>
    </r>
    <r>
      <rPr>
        <sz val="11"/>
        <color theme="1"/>
        <rFont val="Calibri"/>
        <family val="2"/>
        <scheme val="minor"/>
      </rPr>
      <t xml:space="preserve"> length</t>
    </r>
  </si>
  <si>
    <r>
      <t xml:space="preserve">Scale factor based on </t>
    </r>
    <r>
      <rPr>
        <b/>
        <sz val="11"/>
        <color theme="1"/>
        <rFont val="Calibri"/>
        <family val="2"/>
        <scheme val="minor"/>
      </rPr>
      <t xml:space="preserve">overall </t>
    </r>
    <r>
      <rPr>
        <sz val="11"/>
        <color theme="1"/>
        <rFont val="Calibri"/>
        <family val="2"/>
        <scheme val="minor"/>
      </rPr>
      <t>length</t>
    </r>
  </si>
  <si>
    <r>
      <t xml:space="preserve">Scale factor based on </t>
    </r>
    <r>
      <rPr>
        <b/>
        <sz val="11"/>
        <color theme="1"/>
        <rFont val="Calibri"/>
        <family val="2"/>
        <scheme val="minor"/>
      </rPr>
      <t>span</t>
    </r>
  </si>
  <si>
    <t>Original legnth</t>
  </si>
  <si>
    <t xml:space="preserve">mm </t>
  </si>
  <si>
    <t>Original width</t>
  </si>
  <si>
    <t>Aircraft length</t>
  </si>
  <si>
    <t>Aircraft width</t>
  </si>
  <si>
    <t xml:space="preserve">Scale factor </t>
  </si>
  <si>
    <t>mm/ft</t>
  </si>
  <si>
    <t>Atmosphere</t>
  </si>
  <si>
    <t>Alt.press =</t>
  </si>
  <si>
    <t>[ft]</t>
  </si>
  <si>
    <t>delta T (del. C)</t>
  </si>
  <si>
    <t>or Tamb(deg F)</t>
  </si>
  <si>
    <t>or assume STD day</t>
  </si>
  <si>
    <t>(Input either delta or amb temp value, but not both for non-STD day. Input "0" in both for a STD day</t>
  </si>
  <si>
    <t>Atm Data</t>
  </si>
  <si>
    <t>STD</t>
  </si>
  <si>
    <t>h.press =</t>
  </si>
  <si>
    <t xml:space="preserve">Tamb = </t>
  </si>
  <si>
    <t>[deg C]</t>
  </si>
  <si>
    <t>[deg F]</t>
  </si>
  <si>
    <t>delta</t>
  </si>
  <si>
    <t>[-]</t>
  </si>
  <si>
    <t>theta</t>
  </si>
  <si>
    <t xml:space="preserve">sigma </t>
  </si>
  <si>
    <t>SLS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</si>
  <si>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o </t>
    </r>
  </si>
  <si>
    <r>
      <t>[lb/ft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</si>
  <si>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P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</si>
  <si>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o </t>
    </r>
  </si>
  <si>
    <t>[deg R]</t>
  </si>
  <si>
    <t>T</t>
  </si>
  <si>
    <r>
      <t>rho</t>
    </r>
    <r>
      <rPr>
        <vertAlign val="subscript"/>
        <sz val="11"/>
        <color theme="1"/>
        <rFont val="Calibri"/>
        <family val="2"/>
        <scheme val="minor"/>
      </rPr>
      <t>o</t>
    </r>
  </si>
  <si>
    <r>
      <t>[slugs/ft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</si>
  <si>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Rho</t>
  </si>
  <si>
    <r>
      <t>mu</t>
    </r>
    <r>
      <rPr>
        <vertAlign val="subscript"/>
        <sz val="11"/>
        <color theme="1"/>
        <rFont val="Calibri"/>
        <family val="2"/>
        <scheme val="minor"/>
      </rPr>
      <t>o</t>
    </r>
  </si>
  <si>
    <t>[slug/ft-sec]</t>
  </si>
  <si>
    <t>Mu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</si>
  <si>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o </t>
    </r>
  </si>
  <si>
    <r>
      <t>[ft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/sec]</t>
    </r>
  </si>
  <si>
    <t>v</t>
  </si>
  <si>
    <t>TOP/FRONT VIEW</t>
  </si>
  <si>
    <t>WING</t>
  </si>
  <si>
    <t>Left Wing</t>
  </si>
  <si>
    <t>mm</t>
  </si>
  <si>
    <t>mm2</t>
  </si>
  <si>
    <t>ft2</t>
  </si>
  <si>
    <t>SCALE FACTORS</t>
  </si>
  <si>
    <t>NOT NEEDED I THINK</t>
  </si>
  <si>
    <t>root</t>
  </si>
  <si>
    <r>
      <t>C</t>
    </r>
    <r>
      <rPr>
        <vertAlign val="subscript"/>
        <sz val="11"/>
        <color theme="1"/>
        <rFont val="Calibri"/>
        <family val="2"/>
        <scheme val="minor"/>
      </rPr>
      <t>R</t>
    </r>
  </si>
  <si>
    <t>area =</t>
  </si>
  <si>
    <t>COOLING INLETS</t>
  </si>
  <si>
    <t>tip</t>
  </si>
  <si>
    <t>Ctau</t>
  </si>
  <si>
    <t>l</t>
  </si>
  <si>
    <t>Based on Overall Length</t>
  </si>
  <si>
    <t>preston</t>
  </si>
  <si>
    <t>w</t>
  </si>
  <si>
    <t xml:space="preserve">area= </t>
  </si>
  <si>
    <t>length</t>
  </si>
  <si>
    <t>L</t>
  </si>
  <si>
    <t xml:space="preserve"> [mm/ft]</t>
  </si>
  <si>
    <t>h</t>
  </si>
  <si>
    <t>total =</t>
  </si>
  <si>
    <t>c =</t>
  </si>
  <si>
    <t>Based on Span (width)</t>
  </si>
  <si>
    <t>oil</t>
  </si>
  <si>
    <r>
      <t>E</t>
    </r>
    <r>
      <rPr>
        <vertAlign val="subscript"/>
        <sz val="11"/>
        <color theme="1"/>
        <rFont val="Calibri"/>
        <family val="2"/>
        <scheme val="minor"/>
      </rPr>
      <t>W1</t>
    </r>
  </si>
  <si>
    <t>a</t>
  </si>
  <si>
    <t>b</t>
  </si>
  <si>
    <t>W/ Fairing/w int</t>
  </si>
  <si>
    <r>
      <t>E</t>
    </r>
    <r>
      <rPr>
        <vertAlign val="subscript"/>
        <sz val="11"/>
        <color theme="1"/>
        <rFont val="Calibri"/>
        <family val="2"/>
        <scheme val="minor"/>
      </rPr>
      <t>W2</t>
    </r>
  </si>
  <si>
    <t>c</t>
  </si>
  <si>
    <t>W/F int</t>
  </si>
  <si>
    <t>HT</t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</si>
  <si>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HT </t>
    </r>
  </si>
  <si>
    <t>F/HT int</t>
  </si>
  <si>
    <t>c1</t>
  </si>
  <si>
    <t>c2</t>
  </si>
  <si>
    <r>
      <t>E</t>
    </r>
    <r>
      <rPr>
        <vertAlign val="subscript"/>
        <sz val="11"/>
        <color theme="1"/>
        <rFont val="Calibri"/>
        <family val="2"/>
        <scheme val="minor"/>
      </rPr>
      <t>HT1</t>
    </r>
  </si>
  <si>
    <r>
      <t>E</t>
    </r>
    <r>
      <rPr>
        <vertAlign val="subscript"/>
        <sz val="11"/>
        <color theme="1"/>
        <rFont val="Calibri"/>
        <family val="2"/>
        <scheme val="minor"/>
      </rPr>
      <t>HT2</t>
    </r>
  </si>
  <si>
    <t>t</t>
  </si>
  <si>
    <t>SIDE VIEW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</si>
  <si>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VT1</t>
    </r>
  </si>
  <si>
    <r>
      <t>E</t>
    </r>
    <r>
      <rPr>
        <b/>
        <vertAlign val="subscript"/>
        <sz val="11"/>
        <color theme="1"/>
        <rFont val="Calibri"/>
        <family val="2"/>
        <scheme val="minor"/>
      </rPr>
      <t>W1</t>
    </r>
  </si>
  <si>
    <t>A</t>
  </si>
  <si>
    <t>B</t>
  </si>
  <si>
    <t>C</t>
  </si>
  <si>
    <t>D</t>
  </si>
  <si>
    <t>E</t>
  </si>
  <si>
    <t>F</t>
  </si>
  <si>
    <t>height</t>
  </si>
  <si>
    <t>Scale factor based on fusalage length</t>
  </si>
  <si>
    <t>VT</t>
  </si>
  <si>
    <t>Re</t>
  </si>
  <si>
    <t>V</t>
  </si>
  <si>
    <t xml:space="preserve">a  </t>
  </si>
  <si>
    <t>[ft/sec]</t>
  </si>
  <si>
    <t>Velocity</t>
  </si>
  <si>
    <t>mph</t>
  </si>
  <si>
    <t>knots</t>
  </si>
  <si>
    <t>feet/sec</t>
  </si>
  <si>
    <t>Notes</t>
  </si>
  <si>
    <t>P, T, Rho</t>
  </si>
  <si>
    <t>Multiplied ratios with standard condition values</t>
  </si>
  <si>
    <t>T [deg F]</t>
  </si>
  <si>
    <t>Converted T from rankine to fahrenhiet</t>
  </si>
  <si>
    <t>Reynolds Number</t>
  </si>
  <si>
    <r>
      <t>C</t>
    </r>
    <r>
      <rPr>
        <vertAlign val="subscript"/>
        <sz val="11"/>
        <color theme="1"/>
        <rFont val="Calibri"/>
        <family val="2"/>
        <scheme val="minor"/>
      </rPr>
      <t>tau</t>
    </r>
  </si>
  <si>
    <r>
      <t>Mean Geometric Chord = C</t>
    </r>
    <r>
      <rPr>
        <vertAlign val="subscript"/>
        <sz val="11"/>
        <color theme="1"/>
        <rFont val="Calibri"/>
        <family val="2"/>
        <scheme val="minor"/>
      </rPr>
      <t>mgc</t>
    </r>
  </si>
  <si>
    <r>
      <t>Mean Geometric Chord = C</t>
    </r>
    <r>
      <rPr>
        <b/>
        <vertAlign val="subscript"/>
        <sz val="11"/>
        <color theme="0"/>
        <rFont val="Calibri"/>
        <family val="2"/>
        <scheme val="minor"/>
      </rPr>
      <t>mgc</t>
    </r>
  </si>
  <si>
    <t>taper ratio</t>
  </si>
  <si>
    <t>lambda</t>
  </si>
  <si>
    <t>Cmgc</t>
  </si>
  <si>
    <r>
      <t>C</t>
    </r>
    <r>
      <rPr>
        <vertAlign val="subscript"/>
        <sz val="11"/>
        <color theme="1"/>
        <rFont val="Calibri"/>
        <family val="2"/>
        <scheme val="minor"/>
      </rPr>
      <t>mgc</t>
    </r>
  </si>
  <si>
    <t>It’s the mean geometric chord</t>
  </si>
  <si>
    <t>Re Sci</t>
  </si>
  <si>
    <t>WING ELLIPSES</t>
  </si>
  <si>
    <t xml:space="preserve">HORIZONTAL TAIL </t>
  </si>
  <si>
    <t>Pi</t>
  </si>
  <si>
    <t>Root Chord</t>
  </si>
  <si>
    <t>Tip Chord</t>
  </si>
  <si>
    <t>tails</t>
  </si>
  <si>
    <t xml:space="preserve">Horizontal </t>
  </si>
  <si>
    <t>Vertical</t>
  </si>
  <si>
    <t>Airfoils chosen based on Re (clean; cruise conditions)</t>
  </si>
  <si>
    <t>NACA 23015</t>
  </si>
  <si>
    <t>NACA23009</t>
  </si>
  <si>
    <t>Root chord (ft)</t>
  </si>
  <si>
    <t>Tip chord (ft)</t>
  </si>
  <si>
    <t>85 Hp</t>
  </si>
  <si>
    <t>Continental, C-85-12</t>
  </si>
  <si>
    <t> 232.0022</t>
  </si>
  <si>
    <t>Wing (both sides)</t>
  </si>
  <si>
    <t>pi</t>
  </si>
  <si>
    <t>Based on Fusalage Length</t>
  </si>
  <si>
    <t>to calculate</t>
  </si>
  <si>
    <t>[--]</t>
  </si>
  <si>
    <t>Root t/c</t>
  </si>
  <si>
    <t>tip t/c</t>
  </si>
  <si>
    <t>AIRFOIL THICKNESS [WING]</t>
  </si>
  <si>
    <t>Stock height</t>
  </si>
  <si>
    <t>Based on stock height</t>
  </si>
  <si>
    <t>Reynolds Number [Fusalage]</t>
  </si>
  <si>
    <t>AIRFOIL THICKNESS [Horizontal Tail]</t>
  </si>
  <si>
    <t>AIRFOIL THICKNESS [Vertical Tail]</t>
  </si>
  <si>
    <t>Reynolds Number [HT]</t>
  </si>
  <si>
    <t>Lambda (HT)</t>
  </si>
  <si>
    <t>Dynamic Pressure [psf]</t>
  </si>
  <si>
    <t>Clean Config. (No landing gear or flaps)</t>
  </si>
  <si>
    <t>With just gear down for take off</t>
  </si>
  <si>
    <t>With gear and flaps (at 30deg) for landing</t>
  </si>
  <si>
    <t>Part A</t>
  </si>
  <si>
    <t>Part B</t>
  </si>
  <si>
    <t>Part C</t>
  </si>
  <si>
    <t>Drag (lbf)</t>
  </si>
  <si>
    <t>CD0</t>
  </si>
  <si>
    <r>
      <t>C</t>
    </r>
    <r>
      <rPr>
        <vertAlign val="subscript"/>
        <sz val="11"/>
        <color theme="1"/>
        <rFont val="Calibri"/>
        <family val="2"/>
        <scheme val="minor"/>
      </rPr>
      <t>fb</t>
    </r>
  </si>
  <si>
    <r>
      <t>C</t>
    </r>
    <r>
      <rPr>
        <vertAlign val="subscript"/>
        <sz val="11"/>
        <color theme="1"/>
        <rFont val="Calibri"/>
        <family val="2"/>
        <scheme val="minor"/>
      </rPr>
      <t>DWet</t>
    </r>
  </si>
  <si>
    <r>
      <t xml:space="preserve">Scale factor based on </t>
    </r>
    <r>
      <rPr>
        <b/>
        <sz val="11"/>
        <color theme="1"/>
        <rFont val="Calibri"/>
        <family val="2"/>
        <scheme val="minor"/>
      </rPr>
      <t>stock height</t>
    </r>
  </si>
  <si>
    <t>Original height</t>
  </si>
  <si>
    <t>Aircraft height</t>
  </si>
  <si>
    <t>MGC [ft]</t>
  </si>
  <si>
    <t>I used NACA 23012, midpoint between 23015 and 23009 for wing</t>
  </si>
  <si>
    <t>NACA 0012</t>
  </si>
  <si>
    <t>NACA 0010</t>
  </si>
  <si>
    <t>Wing (23012) ; TOWSections Pg. 499</t>
  </si>
  <si>
    <t>Veritcal Tail ; Theory of Wing Pg. 463</t>
  </si>
  <si>
    <t>Horizontal Tail (0010) ; Theory of Wing Pg. 461</t>
  </si>
  <si>
    <t>0010</t>
  </si>
  <si>
    <t>0012</t>
  </si>
  <si>
    <t>I used 0.79 * Max Diameter of fusalage * total length for Gross Wetted Area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</si>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</sst>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"/>
    <numFmt numFmtId="168" formatCode="0.000000"/>
    <numFmt numFmtId="169" formatCode="0.0000000"/>
    <numFmt numFmtId="170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4"/>
      </left>
      <right style="thin">
        <color indexed="64"/>
      </right>
      <top/>
      <bottom/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</borders>
  <cellStyleXfs count="2">
    <xf numFmtId="0" fontId="0" fillId="0" borderId="0"/>
    <xf numFmtId="0" fontId="11" fillId="10" borderId="0" applyNumberFormat="0" applyBorder="0" applyAlignment="0" applyProtection="0"/>
  </cellStyleXfs>
  <cellXfs count="23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1" xfId="0" applyFill="1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4" fillId="4" borderId="1" xfId="0" applyFont="1" applyFill="1" applyBorder="1"/>
    <xf numFmtId="0" fontId="1" fillId="5" borderId="0" xfId="0" applyFont="1" applyFill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/>
    <xf numFmtId="0" fontId="1" fillId="5" borderId="3" xfId="0" applyFont="1" applyFill="1" applyBorder="1"/>
    <xf numFmtId="0" fontId="0" fillId="0" borderId="3" xfId="0" applyBorder="1" applyAlignment="1">
      <alignment horizontal="center"/>
    </xf>
    <xf numFmtId="0" fontId="0" fillId="6" borderId="0" xfId="0" applyFill="1"/>
    <xf numFmtId="0" fontId="0" fillId="6" borderId="3" xfId="0" applyFill="1" applyBorder="1"/>
    <xf numFmtId="0" fontId="0" fillId="6" borderId="8" xfId="0" applyFill="1" applyBorder="1"/>
    <xf numFmtId="0" fontId="0" fillId="0" borderId="1" xfId="0" applyBorder="1"/>
    <xf numFmtId="0" fontId="0" fillId="6" borderId="9" xfId="0" applyFill="1" applyBorder="1"/>
    <xf numFmtId="0" fontId="0" fillId="6" borderId="6" xfId="0" applyFill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2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5" xfId="0" applyFill="1" applyBorder="1"/>
    <xf numFmtId="0" fontId="0" fillId="4" borderId="15" xfId="0" applyFill="1" applyBorder="1" applyAlignment="1">
      <alignment horizontal="center" vertical="center"/>
    </xf>
    <xf numFmtId="0" fontId="1" fillId="0" borderId="0" xfId="0" applyFont="1"/>
    <xf numFmtId="0" fontId="0" fillId="7" borderId="8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8" borderId="18" xfId="0" applyFill="1" applyBorder="1"/>
    <xf numFmtId="0" fontId="0" fillId="8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8" borderId="18" xfId="0" applyFill="1" applyBorder="1" applyAlignment="1">
      <alignment horizontal="right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164" fontId="0" fillId="8" borderId="18" xfId="0" applyNumberFormat="1" applyFill="1" applyBorder="1"/>
    <xf numFmtId="0" fontId="0" fillId="3" borderId="2" xfId="0" applyFill="1" applyBorder="1"/>
    <xf numFmtId="0" fontId="0" fillId="3" borderId="7" xfId="0" applyFill="1" applyBorder="1"/>
    <xf numFmtId="165" fontId="0" fillId="8" borderId="18" xfId="0" applyNumberForma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8" borderId="1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5" fontId="0" fillId="8" borderId="18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9" borderId="8" xfId="0" applyFont="1" applyFill="1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4" fontId="0" fillId="8" borderId="18" xfId="0" applyNumberFormat="1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168" fontId="0" fillId="8" borderId="18" xfId="0" applyNumberFormat="1" applyFill="1" applyBorder="1" applyAlignment="1">
      <alignment horizontal="center"/>
    </xf>
    <xf numFmtId="169" fontId="0" fillId="8" borderId="18" xfId="0" applyNumberFormat="1" applyFill="1" applyBorder="1"/>
    <xf numFmtId="165" fontId="0" fillId="8" borderId="18" xfId="0" applyNumberFormat="1" applyFill="1" applyBorder="1"/>
    <xf numFmtId="170" fontId="0" fillId="8" borderId="18" xfId="0" applyNumberFormat="1" applyFill="1" applyBorder="1"/>
    <xf numFmtId="0" fontId="1" fillId="0" borderId="0" xfId="0" applyFont="1" applyFill="1" applyAlignment="1"/>
    <xf numFmtId="0" fontId="0" fillId="8" borderId="37" xfId="0" applyFill="1" applyBorder="1"/>
    <xf numFmtId="0" fontId="0" fillId="7" borderId="38" xfId="0" applyFill="1" applyBorder="1" applyAlignment="1">
      <alignment horizontal="center"/>
    </xf>
    <xf numFmtId="0" fontId="0" fillId="0" borderId="0" xfId="0" applyBorder="1"/>
    <xf numFmtId="0" fontId="0" fillId="7" borderId="0" xfId="0" applyFill="1" applyBorder="1" applyAlignment="1">
      <alignment horizontal="center"/>
    </xf>
    <xf numFmtId="0" fontId="0" fillId="8" borderId="39" xfId="0" applyFill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8" borderId="45" xfId="0" applyFill="1" applyBorder="1"/>
    <xf numFmtId="0" fontId="0" fillId="8" borderId="46" xfId="0" applyFill="1" applyBorder="1" applyAlignment="1">
      <alignment horizontal="right"/>
    </xf>
    <xf numFmtId="0" fontId="0" fillId="8" borderId="46" xfId="0" applyFill="1" applyBorder="1"/>
    <xf numFmtId="0" fontId="2" fillId="0" borderId="0" xfId="0" applyFont="1" applyAlignment="1">
      <alignment horizontal="left"/>
    </xf>
    <xf numFmtId="0" fontId="0" fillId="8" borderId="43" xfId="0" applyFill="1" applyBorder="1"/>
    <xf numFmtId="0" fontId="0" fillId="8" borderId="47" xfId="0" applyFill="1" applyBorder="1"/>
    <xf numFmtId="0" fontId="0" fillId="11" borderId="0" xfId="0" applyFill="1" applyAlignment="1">
      <alignment horizontal="center"/>
    </xf>
    <xf numFmtId="11" fontId="0" fillId="11" borderId="0" xfId="0" applyNumberFormat="1" applyFill="1" applyAlignment="1">
      <alignment horizontal="center"/>
    </xf>
    <xf numFmtId="0" fontId="0" fillId="11" borderId="0" xfId="0" applyFill="1"/>
    <xf numFmtId="0" fontId="0" fillId="11" borderId="18" xfId="0" applyFill="1" applyBorder="1" applyAlignment="1">
      <alignment horizontal="center"/>
    </xf>
    <xf numFmtId="0" fontId="0" fillId="0" borderId="0" xfId="0" applyFill="1"/>
    <xf numFmtId="0" fontId="0" fillId="0" borderId="2" xfId="0" applyFill="1" applyBorder="1"/>
    <xf numFmtId="0" fontId="0" fillId="0" borderId="7" xfId="0" applyFill="1" applyBorder="1"/>
    <xf numFmtId="0" fontId="0" fillId="0" borderId="0" xfId="0" applyFill="1" applyAlignment="1">
      <alignment horizontal="center"/>
    </xf>
    <xf numFmtId="0" fontId="0" fillId="0" borderId="8" xfId="0" applyFill="1" applyBorder="1" applyAlignment="1">
      <alignment horizontal="right"/>
    </xf>
    <xf numFmtId="0" fontId="0" fillId="0" borderId="9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2" fillId="0" borderId="0" xfId="0" applyFont="1" applyFill="1" applyBorder="1"/>
    <xf numFmtId="0" fontId="0" fillId="0" borderId="29" xfId="0" applyBorder="1" applyAlignment="1">
      <alignment horizontal="center"/>
    </xf>
    <xf numFmtId="0" fontId="0" fillId="0" borderId="1" xfId="0" applyFill="1" applyBorder="1"/>
    <xf numFmtId="0" fontId="0" fillId="4" borderId="17" xfId="0" applyFill="1" applyBorder="1"/>
    <xf numFmtId="0" fontId="0" fillId="4" borderId="11" xfId="0" applyFill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6" xfId="0" applyFill="1" applyBorder="1"/>
    <xf numFmtId="0" fontId="0" fillId="0" borderId="8" xfId="0" applyFill="1" applyBorder="1"/>
    <xf numFmtId="0" fontId="0" fillId="0" borderId="3" xfId="0" applyFill="1" applyBorder="1"/>
    <xf numFmtId="0" fontId="2" fillId="3" borderId="5" xfId="0" applyFont="1" applyFill="1" applyBorder="1"/>
    <xf numFmtId="0" fontId="0" fillId="8" borderId="4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1" fillId="5" borderId="0" xfId="0" applyFont="1" applyFill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9" fontId="0" fillId="8" borderId="18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" fillId="0" borderId="5" xfId="0" applyFont="1" applyFill="1" applyBorder="1"/>
    <xf numFmtId="0" fontId="11" fillId="10" borderId="48" xfId="1" applyBorder="1"/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48" xfId="0" applyFill="1" applyBorder="1" applyAlignment="1"/>
    <xf numFmtId="0" fontId="0" fillId="8" borderId="49" xfId="0" applyFill="1" applyBorder="1"/>
    <xf numFmtId="0" fontId="2" fillId="0" borderId="0" xfId="0" applyFont="1" applyBorder="1" applyAlignment="1">
      <alignment horizontal="left"/>
    </xf>
    <xf numFmtId="0" fontId="0" fillId="7" borderId="50" xfId="0" applyFill="1" applyBorder="1" applyAlignment="1">
      <alignment horizontal="center"/>
    </xf>
    <xf numFmtId="0" fontId="0" fillId="0" borderId="4" xfId="0" applyFill="1" applyBorder="1"/>
    <xf numFmtId="0" fontId="0" fillId="0" borderId="7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center"/>
    </xf>
    <xf numFmtId="0" fontId="2" fillId="3" borderId="2" xfId="0" applyFont="1" applyFill="1" applyBorder="1"/>
    <xf numFmtId="0" fontId="0" fillId="8" borderId="51" xfId="0" applyFill="1" applyBorder="1"/>
    <xf numFmtId="0" fontId="0" fillId="8" borderId="41" xfId="0" applyFill="1" applyBorder="1"/>
    <xf numFmtId="0" fontId="0" fillId="8" borderId="42" xfId="0" applyFill="1" applyBorder="1"/>
    <xf numFmtId="0" fontId="1" fillId="5" borderId="4" xfId="0" applyFont="1" applyFill="1" applyBorder="1" applyAlignment="1">
      <alignment horizontal="center"/>
    </xf>
    <xf numFmtId="0" fontId="0" fillId="7" borderId="0" xfId="0" applyFill="1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0" borderId="5" xfId="0" applyFont="1" applyBorder="1"/>
    <xf numFmtId="49" fontId="0" fillId="0" borderId="8" xfId="0" applyNumberFormat="1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0" fillId="8" borderId="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8" borderId="18" xfId="0" applyFill="1" applyBorder="1" applyAlignment="1">
      <alignment horizontal="center" vertical="center"/>
    </xf>
    <xf numFmtId="165" fontId="0" fillId="8" borderId="18" xfId="0" applyNumberFormat="1" applyFill="1" applyBorder="1" applyAlignment="1">
      <alignment horizontal="center" vertical="center"/>
    </xf>
    <xf numFmtId="170" fontId="0" fillId="8" borderId="37" xfId="0" applyNumberFormat="1" applyFill="1" applyBorder="1"/>
    <xf numFmtId="0" fontId="10" fillId="0" borderId="0" xfId="0" applyFont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165" fontId="0" fillId="8" borderId="55" xfId="0" applyNumberFormat="1" applyFill="1" applyBorder="1" applyAlignment="1">
      <alignment horizontal="center" vertical="center"/>
    </xf>
    <xf numFmtId="165" fontId="0" fillId="8" borderId="56" xfId="0" applyNumberFormat="1" applyFill="1" applyBorder="1" applyAlignment="1">
      <alignment horizontal="center" vertical="center"/>
    </xf>
    <xf numFmtId="165" fontId="0" fillId="8" borderId="57" xfId="0" applyNumberFormat="1" applyFill="1" applyBorder="1" applyAlignment="1">
      <alignment horizontal="center" vertical="center"/>
    </xf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0" fontId="9" fillId="4" borderId="10" xfId="0" applyFont="1" applyFill="1" applyBorder="1"/>
    <xf numFmtId="11" fontId="0" fillId="8" borderId="18" xfId="0" applyNumberFormat="1" applyFill="1" applyBorder="1"/>
    <xf numFmtId="0" fontId="0" fillId="4" borderId="2" xfId="0" applyFill="1" applyBorder="1"/>
    <xf numFmtId="0" fontId="0" fillId="4" borderId="58" xfId="0" applyFill="1" applyBorder="1" applyAlignment="1">
      <alignment horizontal="center"/>
    </xf>
    <xf numFmtId="0" fontId="0" fillId="4" borderId="58" xfId="0" applyFill="1" applyBorder="1" applyAlignment="1"/>
    <xf numFmtId="0" fontId="0" fillId="4" borderId="4" xfId="0" applyFill="1" applyBorder="1" applyAlignment="1">
      <alignment horizontal="center" vertical="center"/>
    </xf>
    <xf numFmtId="11" fontId="0" fillId="8" borderId="18" xfId="0" applyNumberFormat="1" applyFill="1" applyBorder="1" applyAlignment="1"/>
    <xf numFmtId="0" fontId="0" fillId="8" borderId="18" xfId="0" applyFill="1" applyBorder="1" applyAlignment="1"/>
    <xf numFmtId="2" fontId="0" fillId="8" borderId="18" xfId="0" applyNumberFormat="1" applyFill="1" applyBorder="1"/>
    <xf numFmtId="0" fontId="12" fillId="8" borderId="18" xfId="0" applyFont="1" applyFill="1" applyBorder="1"/>
    <xf numFmtId="168" fontId="9" fillId="8" borderId="18" xfId="0" applyNumberFormat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27460</xdr:colOff>
      <xdr:row>60</xdr:row>
      <xdr:rowOff>9525</xdr:rowOff>
    </xdr:from>
    <xdr:to>
      <xdr:col>14</xdr:col>
      <xdr:colOff>552449</xdr:colOff>
      <xdr:row>76</xdr:row>
      <xdr:rowOff>84731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387B01-2740-D5C1-8DAB-255055683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13810135" y="11782425"/>
          <a:ext cx="3439639" cy="328513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9524</xdr:colOff>
      <xdr:row>44</xdr:row>
      <xdr:rowOff>16354</xdr:rowOff>
    </xdr:from>
    <xdr:to>
      <xdr:col>18</xdr:col>
      <xdr:colOff>341961</xdr:colOff>
      <xdr:row>53</xdr:row>
      <xdr:rowOff>104457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05409D-C84D-0C65-19BD-9153482F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792199" y="8617429"/>
          <a:ext cx="5685487" cy="19264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228600</xdr:colOff>
      <xdr:row>23</xdr:row>
      <xdr:rowOff>46237</xdr:rowOff>
    </xdr:from>
    <xdr:to>
      <xdr:col>16</xdr:col>
      <xdr:colOff>551371</xdr:colOff>
      <xdr:row>39</xdr:row>
      <xdr:rowOff>94484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0525C2-0B13-9D45-C1DD-FC4B8421C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11275" y="4551562"/>
          <a:ext cx="4456621" cy="316292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2</xdr:col>
      <xdr:colOff>0</xdr:colOff>
      <xdr:row>61</xdr:row>
      <xdr:rowOff>0</xdr:rowOff>
    </xdr:from>
    <xdr:to>
      <xdr:col>11</xdr:col>
      <xdr:colOff>161925</xdr:colOff>
      <xdr:row>61</xdr:row>
      <xdr:rowOff>161925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A810745-2D79-B798-418D-317C7DC8ADF5}"/>
            </a:ext>
          </a:extLst>
        </xdr:cNvPr>
        <xdr:cNvCxnSpPr/>
      </xdr:nvCxnSpPr>
      <xdr:spPr>
        <a:xfrm>
          <a:off x="4762500" y="11963400"/>
          <a:ext cx="91821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439029</xdr:colOff>
      <xdr:row>59</xdr:row>
      <xdr:rowOff>171450</xdr:rowOff>
    </xdr:from>
    <xdr:to>
      <xdr:col>19</xdr:col>
      <xdr:colOff>561498</xdr:colOff>
      <xdr:row>67</xdr:row>
      <xdr:rowOff>104492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5B5FB1-B32F-93FB-5A16-21C6C455D1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45954" y="11753850"/>
          <a:ext cx="2560869" cy="152371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1047750</xdr:colOff>
      <xdr:row>63</xdr:row>
      <xdr:rowOff>142875</xdr:rowOff>
    </xdr:from>
    <xdr:to>
      <xdr:col>16</xdr:col>
      <xdr:colOff>19050</xdr:colOff>
      <xdr:row>64</xdr:row>
      <xdr:rowOff>104775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E427054-B78B-203C-9A37-38EE5BC79FC3}"/>
            </a:ext>
          </a:extLst>
        </xdr:cNvPr>
        <xdr:cNvCxnSpPr/>
      </xdr:nvCxnSpPr>
      <xdr:spPr>
        <a:xfrm flipV="1">
          <a:off x="4752975" y="12553950"/>
          <a:ext cx="1318260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552450</xdr:colOff>
      <xdr:row>13</xdr:row>
      <xdr:rowOff>150118</xdr:rowOff>
    </xdr:from>
    <xdr:to>
      <xdr:col>20</xdr:col>
      <xdr:colOff>551734</xdr:colOff>
      <xdr:row>22</xdr:row>
      <xdr:rowOff>85331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D45F2C2-C8DC-864D-8CB9-396845EE67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859375" y="2721868"/>
          <a:ext cx="3047284" cy="167828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476250</xdr:colOff>
      <xdr:row>14</xdr:row>
      <xdr:rowOff>133350</xdr:rowOff>
    </xdr:from>
    <xdr:to>
      <xdr:col>16</xdr:col>
      <xdr:colOff>152400</xdr:colOff>
      <xdr:row>15</xdr:row>
      <xdr:rowOff>161925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1AAF30B1-7440-5C53-22DC-17C1B822E647}"/>
            </a:ext>
          </a:extLst>
        </xdr:cNvPr>
        <xdr:cNvCxnSpPr/>
      </xdr:nvCxnSpPr>
      <xdr:spPr>
        <a:xfrm>
          <a:off x="11277600" y="2895600"/>
          <a:ext cx="6791325" cy="219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1600200</xdr:colOff>
      <xdr:row>35</xdr:row>
      <xdr:rowOff>114300</xdr:rowOff>
    </xdr:from>
    <xdr:to>
      <xdr:col>11</xdr:col>
      <xdr:colOff>361950</xdr:colOff>
      <xdr:row>42</xdr:row>
      <xdr:rowOff>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BC9D4D5-81C1-838D-41F5-1E84B7D031C5}"/>
            </a:ext>
          </a:extLst>
        </xdr:cNvPr>
        <xdr:cNvCxnSpPr/>
      </xdr:nvCxnSpPr>
      <xdr:spPr>
        <a:xfrm flipV="1">
          <a:off x="10782300" y="6934200"/>
          <a:ext cx="3362325" cy="1285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16</xdr:row>
      <xdr:rowOff>28575</xdr:rowOff>
    </xdr:from>
    <xdr:to>
      <xdr:col>11</xdr:col>
      <xdr:colOff>475451</xdr:colOff>
      <xdr:row>27</xdr:row>
      <xdr:rowOff>104504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A4E80B-7C10-6BC6-5B5E-6AA3A0CD8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3295650"/>
          <a:ext cx="6390476" cy="2171429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28575</xdr:rowOff>
    </xdr:from>
    <xdr:to>
      <xdr:col>8</xdr:col>
      <xdr:colOff>180724</xdr:colOff>
      <xdr:row>15</xdr:row>
      <xdr:rowOff>199927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EB4393-317F-4631-A029-F7A4FAC5B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428875"/>
          <a:ext cx="2009524" cy="780952"/>
        </a:xfrm>
        <a:prstGeom prst="rect">
          <a:avLst/>
        </a:prstGeom>
        <a:solidFill>
          <a:schemeClr val="tx1"/>
        </a:solidFill>
        <a:ln w="12700"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28575</xdr:colOff>
      <xdr:row>12</xdr:row>
      <xdr:rowOff>19050</xdr:rowOff>
    </xdr:from>
    <xdr:to>
      <xdr:col>11</xdr:col>
      <xdr:colOff>618975</xdr:colOff>
      <xdr:row>15</xdr:row>
      <xdr:rowOff>199926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624D2A-7FCD-CABF-7445-6097C01F3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3775" y="2428875"/>
          <a:ext cx="1200000" cy="790476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318866</xdr:colOff>
      <xdr:row>2</xdr:row>
      <xdr:rowOff>166133</xdr:rowOff>
    </xdr:from>
    <xdr:to>
      <xdr:col>26</xdr:col>
      <xdr:colOff>41706</xdr:colOff>
      <xdr:row>15</xdr:row>
      <xdr:rowOff>90107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0F592-80B2-9D62-1023-62CF3F5D3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3258024" y="-161925"/>
          <a:ext cx="2571924" cy="3990040"/>
        </a:xfrm>
        <a:prstGeom prst="rect">
          <a:avLst/>
        </a:prstGeom>
        <a:ln w="9525"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390525</xdr:colOff>
      <xdr:row>15</xdr:row>
      <xdr:rowOff>133350</xdr:rowOff>
    </xdr:from>
    <xdr:to>
      <xdr:col>27</xdr:col>
      <xdr:colOff>113365</xdr:colOff>
      <xdr:row>28</xdr:row>
      <xdr:rowOff>152574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66C9B8-A7AE-4CEF-B151-F4F3CF4ED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3510658" y="2348467"/>
          <a:ext cx="2571924" cy="3990040"/>
        </a:xfrm>
        <a:prstGeom prst="rect">
          <a:avLst/>
        </a:prstGeom>
        <a:ln w="952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20D2-C25F-4C10-A132-D0FAA17C05DE}">
  <dimension ref="A1:S77"/>
  <sheetViews>
    <sheetView tabSelected="1" topLeftCell="A36" zoomScaleNormal="100" workbookViewId="0">
      <selection activeCell="H57" sqref="H57"/>
    </sheetView>
  </sheetViews>
  <sheetFormatPr defaultRowHeight="15" x14ac:dyDescent="0.25"/>
  <cols>
    <col min="1" max="1" width="55.5703125" bestFit="1" customWidth="1"/>
    <col min="2" max="2" width="15.85546875" bestFit="1" customWidth="1"/>
    <col min="3" max="3" width="16.140625" customWidth="1"/>
    <col min="4" max="4" width="17.5703125" bestFit="1" customWidth="1"/>
    <col min="5" max="5" width="15.140625" customWidth="1"/>
    <col min="6" max="6" width="17.42578125" bestFit="1" customWidth="1"/>
    <col min="7" max="7" width="24.28515625" bestFit="1" customWidth="1"/>
    <col min="8" max="8" width="9.7109375" bestFit="1" customWidth="1"/>
    <col min="9" max="9" width="12.42578125" bestFit="1" customWidth="1"/>
    <col min="10" max="10" width="13.42578125" bestFit="1" customWidth="1"/>
    <col min="12" max="12" width="15.5703125" customWidth="1"/>
    <col min="13" max="13" width="14.42578125" customWidth="1"/>
    <col min="14" max="14" width="13.7109375" customWidth="1"/>
  </cols>
  <sheetData>
    <row r="1" spans="1:18" ht="18.75" x14ac:dyDescent="0.3">
      <c r="A1" s="1" t="s">
        <v>0</v>
      </c>
      <c r="P1" s="113" t="s">
        <v>158</v>
      </c>
      <c r="Q1" s="114"/>
      <c r="R1" s="115"/>
    </row>
    <row r="2" spans="1:18" x14ac:dyDescent="0.25">
      <c r="P2" s="116"/>
      <c r="Q2" s="220"/>
      <c r="R2" s="118"/>
    </row>
    <row r="3" spans="1:18" x14ac:dyDescent="0.25">
      <c r="A3" s="13" t="s">
        <v>1</v>
      </c>
      <c r="B3" s="30"/>
      <c r="C3" s="30"/>
      <c r="D3" s="156" t="s">
        <v>2</v>
      </c>
      <c r="E3" s="53">
        <v>1835</v>
      </c>
      <c r="F3" s="7" t="s">
        <v>3</v>
      </c>
      <c r="G3" s="5" t="s">
        <v>4</v>
      </c>
      <c r="H3" s="89" t="s">
        <v>243</v>
      </c>
      <c r="I3" s="89"/>
      <c r="J3" s="89"/>
      <c r="K3" s="7"/>
      <c r="P3" s="111" t="s">
        <v>167</v>
      </c>
      <c r="Q3" s="89"/>
      <c r="R3" s="164"/>
    </row>
    <row r="4" spans="1:18" x14ac:dyDescent="0.25">
      <c r="A4" s="14" t="s">
        <v>5</v>
      </c>
      <c r="B4" s="29"/>
      <c r="C4" s="29"/>
      <c r="D4" s="10" t="s">
        <v>6</v>
      </c>
      <c r="E4" s="58" t="s">
        <v>244</v>
      </c>
      <c r="F4" s="12" t="s">
        <v>3</v>
      </c>
      <c r="G4" s="10" t="s">
        <v>7</v>
      </c>
      <c r="H4" s="11"/>
      <c r="I4" s="11"/>
      <c r="J4" s="53" t="s">
        <v>242</v>
      </c>
      <c r="K4" s="12" t="s">
        <v>8</v>
      </c>
      <c r="P4" s="213" t="s">
        <v>173</v>
      </c>
      <c r="Q4" s="217">
        <v>4.46401</v>
      </c>
      <c r="R4" s="221"/>
    </row>
    <row r="5" spans="1:18" x14ac:dyDescent="0.25">
      <c r="A5" s="40"/>
      <c r="B5" s="29"/>
      <c r="C5" s="29"/>
      <c r="D5" s="29"/>
      <c r="E5" s="29"/>
      <c r="F5" s="29"/>
      <c r="G5" s="29"/>
      <c r="H5" s="29"/>
      <c r="I5" s="29"/>
      <c r="J5" s="29"/>
      <c r="K5" s="34"/>
      <c r="P5" s="214"/>
      <c r="Q5" s="217"/>
      <c r="R5" s="221"/>
    </row>
    <row r="6" spans="1:18" x14ac:dyDescent="0.25">
      <c r="A6" s="40"/>
      <c r="B6" s="29"/>
      <c r="C6" s="29"/>
      <c r="D6" s="5" t="s">
        <v>9</v>
      </c>
      <c r="E6" s="53">
        <v>7500</v>
      </c>
      <c r="F6" s="7" t="s">
        <v>10</v>
      </c>
      <c r="G6" s="29"/>
      <c r="H6" s="29"/>
      <c r="I6" s="29"/>
      <c r="J6" s="29"/>
      <c r="K6" s="34"/>
      <c r="P6" s="111" t="s">
        <v>177</v>
      </c>
      <c r="Q6" s="168"/>
      <c r="R6" s="216"/>
    </row>
    <row r="7" spans="1:18" x14ac:dyDescent="0.25">
      <c r="A7" s="39"/>
      <c r="B7" s="31"/>
      <c r="C7" s="31"/>
      <c r="D7" s="10" t="s">
        <v>11</v>
      </c>
      <c r="E7" s="53">
        <v>121.6</v>
      </c>
      <c r="F7" s="12" t="s">
        <v>12</v>
      </c>
      <c r="G7" s="31"/>
      <c r="H7" s="31"/>
      <c r="I7" s="31"/>
      <c r="J7" s="31"/>
      <c r="K7" s="33"/>
      <c r="P7" s="213" t="s">
        <v>173</v>
      </c>
      <c r="Q7" s="217">
        <v>4.6364200000000002</v>
      </c>
      <c r="R7" s="221"/>
    </row>
    <row r="8" spans="1:18" ht="15.75" thickBot="1" x14ac:dyDescent="0.3">
      <c r="P8" s="215"/>
      <c r="Q8" s="217"/>
      <c r="R8" s="221"/>
    </row>
    <row r="9" spans="1:18" x14ac:dyDescent="0.25">
      <c r="A9" s="15" t="s">
        <v>13</v>
      </c>
      <c r="B9" s="16"/>
      <c r="C9" s="16"/>
      <c r="D9" s="16"/>
      <c r="E9" s="16"/>
      <c r="F9" s="16"/>
      <c r="G9" s="16"/>
      <c r="H9" s="16" t="s">
        <v>14</v>
      </c>
      <c r="I9" s="16"/>
      <c r="J9" s="16"/>
      <c r="K9" s="16"/>
      <c r="L9" s="16"/>
      <c r="M9" s="16"/>
      <c r="N9" s="17"/>
      <c r="P9" s="111" t="s">
        <v>247</v>
      </c>
      <c r="Q9" s="168"/>
      <c r="R9" s="216"/>
    </row>
    <row r="10" spans="1:18" x14ac:dyDescent="0.25">
      <c r="A10" s="5"/>
      <c r="B10" s="6" t="s">
        <v>15</v>
      </c>
      <c r="C10" s="6"/>
      <c r="D10" s="6"/>
      <c r="E10" s="6"/>
      <c r="F10" s="6"/>
      <c r="G10" s="6"/>
      <c r="H10" s="172" t="s">
        <v>16</v>
      </c>
      <c r="I10" s="6"/>
      <c r="J10" s="6"/>
      <c r="K10" s="6"/>
      <c r="L10" s="6"/>
      <c r="M10" s="6"/>
      <c r="N10" s="7"/>
      <c r="P10" s="213" t="s">
        <v>173</v>
      </c>
      <c r="Q10" s="218">
        <v>4.7222222222222223</v>
      </c>
      <c r="R10" s="222"/>
    </row>
    <row r="11" spans="1:18" ht="15.75" thickBot="1" x14ac:dyDescent="0.3">
      <c r="A11" s="10"/>
      <c r="B11" s="11" t="s">
        <v>17</v>
      </c>
      <c r="C11" s="11"/>
      <c r="D11" s="11"/>
      <c r="E11" s="11"/>
      <c r="F11" s="11"/>
      <c r="G11" s="11"/>
      <c r="H11" s="171" t="s">
        <v>18</v>
      </c>
      <c r="I11" s="11" t="s">
        <v>19</v>
      </c>
      <c r="J11" s="11" t="s">
        <v>20</v>
      </c>
      <c r="K11" s="18" t="s">
        <v>21</v>
      </c>
      <c r="L11" s="11"/>
      <c r="M11" s="11"/>
      <c r="N11" s="12"/>
      <c r="P11" s="215"/>
      <c r="Q11" s="223"/>
      <c r="R11" s="224"/>
    </row>
    <row r="12" spans="1:18" ht="17.25" x14ac:dyDescent="0.25">
      <c r="A12" s="23" t="s">
        <v>22</v>
      </c>
      <c r="B12" s="226" t="s">
        <v>23</v>
      </c>
      <c r="C12" s="22" t="s">
        <v>24</v>
      </c>
      <c r="D12" s="22" t="s">
        <v>25</v>
      </c>
      <c r="E12" s="226" t="s">
        <v>26</v>
      </c>
      <c r="F12" s="226" t="s">
        <v>27</v>
      </c>
      <c r="G12" s="226" t="s">
        <v>28</v>
      </c>
      <c r="H12" s="226" t="s">
        <v>29</v>
      </c>
      <c r="I12" s="226" t="s">
        <v>30</v>
      </c>
      <c r="J12" s="225" t="s">
        <v>31</v>
      </c>
      <c r="K12" s="226" t="s">
        <v>30</v>
      </c>
      <c r="L12" s="226" t="s">
        <v>240</v>
      </c>
      <c r="M12" s="226" t="s">
        <v>241</v>
      </c>
      <c r="N12" s="226" t="s">
        <v>274</v>
      </c>
    </row>
    <row r="13" spans="1:18" x14ac:dyDescent="0.25">
      <c r="A13" s="5" t="s">
        <v>245</v>
      </c>
      <c r="B13" s="130">
        <f>2*(57.01302+1.821475+2.732212)</f>
        <v>123.13341399999999</v>
      </c>
      <c r="C13" s="81" t="s">
        <v>238</v>
      </c>
      <c r="D13" s="81" t="s">
        <v>239</v>
      </c>
      <c r="E13" s="130">
        <f>'Side View A-E'!F26</f>
        <v>0.15085873794444443</v>
      </c>
      <c r="F13" s="130">
        <f>'Side View A-E'!F29</f>
        <v>0.16666666666666666</v>
      </c>
      <c r="G13" s="130">
        <f>(E13+F13)/2</f>
        <v>0.15876270230555556</v>
      </c>
      <c r="H13" s="130">
        <v>1.073</v>
      </c>
      <c r="I13" s="130">
        <f>2*B13+(3.8823*7.1684)*H13</f>
        <v>276.12828851035999</v>
      </c>
      <c r="J13" s="130">
        <f>(3.8823*7.1684)</f>
        <v>27.82987932</v>
      </c>
      <c r="K13" s="53">
        <f>I13-J13</f>
        <v>248.29840919035999</v>
      </c>
      <c r="L13" s="130">
        <v>5.8243597124558413</v>
      </c>
      <c r="M13" s="130">
        <v>3.1361936913223762</v>
      </c>
      <c r="N13" s="130">
        <f>'Reynolds Number'!D15</f>
        <v>4.614685002945782</v>
      </c>
      <c r="Q13" s="32" t="s">
        <v>246</v>
      </c>
      <c r="R13" s="47">
        <v>3.1415926535000001</v>
      </c>
    </row>
    <row r="14" spans="1:18" x14ac:dyDescent="0.25">
      <c r="A14" s="9" t="s">
        <v>34</v>
      </c>
      <c r="B14" s="130">
        <f>2*(11.94616+0.398448+0.51229)</f>
        <v>25.713796000000002</v>
      </c>
      <c r="C14" s="82" t="s">
        <v>277</v>
      </c>
      <c r="D14" s="82" t="s">
        <v>277</v>
      </c>
      <c r="E14" s="130">
        <f>'Side View A-E'!M26</f>
        <v>8.6204993111111114E-2</v>
      </c>
      <c r="F14" s="130">
        <f>'Side View A-E'!M29</f>
        <v>0.13333333333333333</v>
      </c>
      <c r="G14" s="130">
        <f>(E14+F14)/2</f>
        <v>0.10976916322222222</v>
      </c>
      <c r="H14" s="130">
        <v>1.0529999999999999</v>
      </c>
      <c r="I14" s="130">
        <f>2*B14*H14</f>
        <v>54.153254376</v>
      </c>
      <c r="J14" s="130">
        <v>1.4917659999999999</v>
      </c>
      <c r="K14" s="130">
        <f>I14-J14</f>
        <v>52.661488376000001</v>
      </c>
      <c r="L14" s="130">
        <v>3.1361936913223762</v>
      </c>
      <c r="M14" s="130">
        <v>1.6801037632084157</v>
      </c>
      <c r="N14" s="130">
        <f>'Reynolds Number'!D16</f>
        <v>2.4815175996122236</v>
      </c>
    </row>
    <row r="15" spans="1:18" x14ac:dyDescent="0.25">
      <c r="A15" s="10" t="s">
        <v>35</v>
      </c>
      <c r="B15" s="130">
        <f>2*('Side View A-E'!F16+'Side View A-E'!F20)</f>
        <v>12.141953524696222</v>
      </c>
      <c r="C15" s="78" t="s">
        <v>276</v>
      </c>
      <c r="D15" s="78" t="s">
        <v>276</v>
      </c>
      <c r="E15" s="130">
        <f>'Side View A-E'!T26</f>
        <v>7.6011630116612203E-2</v>
      </c>
      <c r="F15" s="130">
        <f>'Side View A-E'!T29</f>
        <v>0.18181818181818182</v>
      </c>
      <c r="G15" s="130">
        <f>(E15+F15)/2</f>
        <v>0.12891490596739702</v>
      </c>
      <c r="H15" s="53">
        <v>1.0595000000000001</v>
      </c>
      <c r="I15" s="130">
        <f>B15*H15</f>
        <v>12.864399759415647</v>
      </c>
      <c r="J15" s="58" t="s">
        <v>249</v>
      </c>
      <c r="K15" s="130">
        <f>I15</f>
        <v>12.864399759415647</v>
      </c>
      <c r="L15" s="130">
        <v>4.2562628667946534</v>
      </c>
      <c r="M15" s="130">
        <v>1.2320760930195049</v>
      </c>
      <c r="N15" s="130">
        <f>'Reynolds Number'!D17</f>
        <v>3.0219009183150005</v>
      </c>
    </row>
    <row r="18" spans="1:19" x14ac:dyDescent="0.25">
      <c r="A18" s="21"/>
      <c r="B18" s="21" t="s">
        <v>36</v>
      </c>
      <c r="C18" s="21" t="s">
        <v>19</v>
      </c>
      <c r="D18" s="21" t="s">
        <v>20</v>
      </c>
      <c r="E18" s="21" t="s">
        <v>21</v>
      </c>
      <c r="F18" s="21"/>
      <c r="G18" s="22" t="s">
        <v>37</v>
      </c>
      <c r="H18" s="22" t="s">
        <v>38</v>
      </c>
      <c r="I18" s="21" t="s">
        <v>39</v>
      </c>
    </row>
    <row r="19" spans="1:19" ht="17.25" x14ac:dyDescent="0.25">
      <c r="A19" s="23" t="s">
        <v>40</v>
      </c>
      <c r="B19" s="226" t="s">
        <v>30</v>
      </c>
      <c r="C19" s="226" t="s">
        <v>30</v>
      </c>
      <c r="D19" s="225" t="s">
        <v>41</v>
      </c>
      <c r="E19" s="226" t="s">
        <v>30</v>
      </c>
      <c r="F19" s="225" t="s">
        <v>42</v>
      </c>
      <c r="G19" s="226" t="s">
        <v>10</v>
      </c>
      <c r="H19" s="225" t="s">
        <v>43</v>
      </c>
      <c r="I19" s="226" t="s">
        <v>44</v>
      </c>
    </row>
    <row r="20" spans="1:19" x14ac:dyDescent="0.25">
      <c r="A20" s="19" t="s">
        <v>45</v>
      </c>
      <c r="B20" s="130">
        <f>(R13/4)*(H20^2)</f>
        <v>11.837806148096373</v>
      </c>
      <c r="C20" s="130">
        <f>0.79*H20*F20</f>
        <v>55.206506758461835</v>
      </c>
      <c r="D20" s="130">
        <f>'Top Front View'!D5*'Side View A-E'!D26</f>
        <v>5.1176060189032828</v>
      </c>
      <c r="E20" s="130">
        <f>C20-D20</f>
        <v>50.088900739558554</v>
      </c>
      <c r="F20" s="130">
        <v>18</v>
      </c>
      <c r="G20" s="130">
        <f>2*R13*(H20/2)</f>
        <v>12.196649511799</v>
      </c>
      <c r="H20" s="130">
        <f>18/4.63641</f>
        <v>3.8823141180352905</v>
      </c>
      <c r="I20" s="130">
        <f>H20/F20</f>
        <v>0.21568411766862725</v>
      </c>
      <c r="K20" t="s">
        <v>283</v>
      </c>
    </row>
    <row r="21" spans="1:19" x14ac:dyDescent="0.25">
      <c r="S21" s="71"/>
    </row>
    <row r="24" spans="1:19" x14ac:dyDescent="0.25">
      <c r="A24" s="21"/>
      <c r="B24" s="21" t="s">
        <v>36</v>
      </c>
      <c r="C24" s="21" t="s">
        <v>19</v>
      </c>
      <c r="D24" s="22" t="s">
        <v>46</v>
      </c>
      <c r="E24" s="21"/>
      <c r="F24" s="22" t="s">
        <v>47</v>
      </c>
    </row>
    <row r="25" spans="1:19" ht="17.25" x14ac:dyDescent="0.25">
      <c r="A25" s="23" t="s">
        <v>48</v>
      </c>
      <c r="B25" s="226" t="s">
        <v>30</v>
      </c>
      <c r="C25" s="226" t="s">
        <v>30</v>
      </c>
      <c r="D25" s="226" t="s">
        <v>10</v>
      </c>
      <c r="E25" s="21"/>
      <c r="F25" s="226" t="s">
        <v>49</v>
      </c>
    </row>
    <row r="26" spans="1:19" x14ac:dyDescent="0.25">
      <c r="A26" s="156" t="s">
        <v>50</v>
      </c>
      <c r="B26" s="53"/>
      <c r="C26" s="53"/>
      <c r="D26" s="53"/>
      <c r="E26" s="6"/>
      <c r="F26" s="53"/>
    </row>
    <row r="27" spans="1:19" x14ac:dyDescent="0.25">
      <c r="A27" s="140" t="s">
        <v>51</v>
      </c>
      <c r="B27" s="53"/>
      <c r="C27" s="53"/>
      <c r="D27" s="53"/>
      <c r="F27" s="53"/>
    </row>
    <row r="28" spans="1:19" x14ac:dyDescent="0.25">
      <c r="A28" s="140" t="s">
        <v>52</v>
      </c>
      <c r="B28" s="58" t="s">
        <v>249</v>
      </c>
      <c r="C28" s="58" t="s">
        <v>249</v>
      </c>
      <c r="D28" s="58" t="s">
        <v>249</v>
      </c>
      <c r="E28" s="82"/>
      <c r="F28" s="58" t="s">
        <v>249</v>
      </c>
    </row>
    <row r="29" spans="1:19" x14ac:dyDescent="0.25">
      <c r="A29" s="140" t="s">
        <v>53</v>
      </c>
      <c r="B29" s="58" t="s">
        <v>249</v>
      </c>
      <c r="C29" s="58" t="s">
        <v>249</v>
      </c>
      <c r="D29" s="58" t="s">
        <v>249</v>
      </c>
      <c r="E29" s="82"/>
      <c r="F29" s="58" t="s">
        <v>249</v>
      </c>
    </row>
    <row r="30" spans="1:19" x14ac:dyDescent="0.25">
      <c r="A30" s="140" t="s">
        <v>54</v>
      </c>
      <c r="B30" s="130">
        <f>D30*F30</f>
        <v>0.69018768791438223</v>
      </c>
      <c r="C30" s="130">
        <f>B30*2</f>
        <v>1.3803753758287645</v>
      </c>
      <c r="D30" s="130">
        <f>2/Q7</f>
        <v>0.43136730494648889</v>
      </c>
      <c r="F30" s="53">
        <v>1.6</v>
      </c>
    </row>
    <row r="31" spans="1:19" x14ac:dyDescent="0.25">
      <c r="A31" s="140" t="s">
        <v>55</v>
      </c>
      <c r="B31" s="58" t="s">
        <v>249</v>
      </c>
      <c r="C31" s="58" t="s">
        <v>249</v>
      </c>
      <c r="D31" s="58" t="s">
        <v>249</v>
      </c>
      <c r="E31" s="82"/>
      <c r="F31" s="58" t="s">
        <v>249</v>
      </c>
    </row>
    <row r="32" spans="1:19" x14ac:dyDescent="0.25">
      <c r="A32" s="9" t="s">
        <v>56</v>
      </c>
      <c r="B32" s="53">
        <f>D32*F32</f>
        <v>1.2800000000000002</v>
      </c>
      <c r="C32" s="53">
        <f>2*B32</f>
        <v>2.5600000000000005</v>
      </c>
      <c r="D32" s="53">
        <v>0.8</v>
      </c>
      <c r="F32" s="53">
        <v>1.6</v>
      </c>
    </row>
    <row r="33" spans="1:16" x14ac:dyDescent="0.25">
      <c r="A33" s="10" t="s">
        <v>57</v>
      </c>
      <c r="B33" s="130">
        <f>D33*F33</f>
        <v>4.384688085812293</v>
      </c>
      <c r="C33" s="130">
        <f>4*B33</f>
        <v>17.538752343249172</v>
      </c>
      <c r="D33" s="130">
        <f>16.5/Q7</f>
        <v>3.558780265808533</v>
      </c>
      <c r="E33" s="11"/>
      <c r="F33" s="130">
        <f>5.5/Q4</f>
        <v>1.2320760930195049</v>
      </c>
    </row>
    <row r="35" spans="1:16" x14ac:dyDescent="0.25">
      <c r="A35" s="155"/>
      <c r="B35" s="155"/>
      <c r="C35" s="155"/>
      <c r="D35" s="155"/>
      <c r="E35" s="155"/>
      <c r="G35" s="155"/>
      <c r="H35" s="155"/>
      <c r="I35" s="155"/>
      <c r="J35" s="155"/>
    </row>
    <row r="36" spans="1:16" x14ac:dyDescent="0.25">
      <c r="A36" s="21"/>
      <c r="B36" s="21"/>
      <c r="C36" s="21"/>
      <c r="D36" s="21"/>
      <c r="E36" s="187" t="s">
        <v>260</v>
      </c>
      <c r="F36" s="217">
        <f>0.5*'Standard Atmosphere'!E14*('Standard Atmosphere'!A23*'Standard Atmosphere'!A23)</f>
        <v>39.999597214417193</v>
      </c>
      <c r="G36" s="166"/>
      <c r="H36" s="21"/>
      <c r="I36" s="21"/>
      <c r="J36" s="48"/>
      <c r="K36" s="140"/>
    </row>
    <row r="37" spans="1:16" x14ac:dyDescent="0.25">
      <c r="A37" s="23" t="s">
        <v>58</v>
      </c>
      <c r="B37" s="21"/>
      <c r="C37" s="21" t="s">
        <v>59</v>
      </c>
      <c r="D37" s="21"/>
      <c r="E37" s="188"/>
      <c r="F37" s="217"/>
      <c r="G37" s="166"/>
      <c r="H37" s="21"/>
      <c r="I37" s="21"/>
      <c r="J37" s="48"/>
      <c r="K37" s="140"/>
    </row>
    <row r="38" spans="1:16" x14ac:dyDescent="0.25">
      <c r="A38" s="21"/>
      <c r="B38" s="21"/>
      <c r="C38" s="21" t="s">
        <v>60</v>
      </c>
      <c r="D38" s="21"/>
      <c r="E38" s="21"/>
      <c r="F38" s="167"/>
      <c r="G38" s="21" t="s">
        <v>60</v>
      </c>
      <c r="H38" s="21"/>
      <c r="I38" s="21"/>
      <c r="J38" s="48"/>
      <c r="K38" s="140"/>
    </row>
    <row r="39" spans="1:16" ht="18" x14ac:dyDescent="0.35">
      <c r="A39" s="24" t="s">
        <v>13</v>
      </c>
      <c r="B39" s="24" t="s">
        <v>61</v>
      </c>
      <c r="C39" s="24" t="s">
        <v>62</v>
      </c>
      <c r="D39" s="24" t="s">
        <v>28</v>
      </c>
      <c r="E39" s="24" t="s">
        <v>63</v>
      </c>
      <c r="F39" s="24" t="s">
        <v>64</v>
      </c>
      <c r="G39" s="24" t="s">
        <v>65</v>
      </c>
      <c r="H39" s="24"/>
      <c r="I39" s="24" t="s">
        <v>66</v>
      </c>
      <c r="J39" s="24" t="s">
        <v>67</v>
      </c>
      <c r="K39" s="189" t="s">
        <v>199</v>
      </c>
      <c r="L39" s="50"/>
      <c r="M39" s="50"/>
      <c r="N39" s="50"/>
    </row>
    <row r="40" spans="1:16" ht="17.25" x14ac:dyDescent="0.25">
      <c r="A40" s="23" t="str">
        <f>A12</f>
        <v>Lifting Surfaces</v>
      </c>
      <c r="B40" s="225"/>
      <c r="C40" s="225" t="s">
        <v>68</v>
      </c>
      <c r="D40" s="225"/>
      <c r="E40" s="227" t="s">
        <v>69</v>
      </c>
      <c r="F40" s="225"/>
      <c r="G40" s="227" t="s">
        <v>70</v>
      </c>
      <c r="H40" s="21" t="s">
        <v>71</v>
      </c>
      <c r="I40" s="21" t="s">
        <v>72</v>
      </c>
      <c r="J40" s="49" t="s">
        <v>73</v>
      </c>
      <c r="K40" s="226" t="s">
        <v>284</v>
      </c>
    </row>
    <row r="41" spans="1:16" x14ac:dyDescent="0.25">
      <c r="A41" s="5" t="s">
        <v>278</v>
      </c>
      <c r="B41" s="228">
        <f>'Reynolds Number'!J8</f>
        <v>5008441.8611441739</v>
      </c>
      <c r="C41" s="228">
        <f>B41/'Reynolds Number'!D15</f>
        <v>1085326.9200274856</v>
      </c>
      <c r="D41" s="130">
        <f>G13</f>
        <v>0.15876270230555556</v>
      </c>
      <c r="E41" s="53">
        <v>6.0000000000000001E-3</v>
      </c>
      <c r="F41" s="228">
        <v>6000000</v>
      </c>
      <c r="G41" s="53">
        <v>5.0000000000000001E-3</v>
      </c>
      <c r="H41" s="6"/>
      <c r="I41" s="6"/>
      <c r="J41" s="6"/>
      <c r="K41" s="53">
        <v>0.3725</v>
      </c>
      <c r="L41" s="83" t="s">
        <v>275</v>
      </c>
      <c r="M41" s="83"/>
      <c r="N41" s="83"/>
      <c r="O41" s="83"/>
      <c r="P41" s="83"/>
    </row>
    <row r="42" spans="1:16" x14ac:dyDescent="0.25">
      <c r="A42" s="9" t="s">
        <v>280</v>
      </c>
      <c r="B42" s="228">
        <f>'Reynolds Number'!L25</f>
        <v>2693257.8533811336</v>
      </c>
      <c r="C42" s="228">
        <f>B42/'Reynolds Number'!D16</f>
        <v>1085326.9200274856</v>
      </c>
      <c r="D42" s="130">
        <f>G14</f>
        <v>0.10976916322222222</v>
      </c>
      <c r="E42" s="53">
        <v>4.0000000000000001E-3</v>
      </c>
      <c r="F42" s="228">
        <v>3000000</v>
      </c>
      <c r="G42" s="53">
        <v>6.0000000000000001E-3</v>
      </c>
      <c r="K42" s="53">
        <v>0</v>
      </c>
    </row>
    <row r="43" spans="1:16" x14ac:dyDescent="0.25">
      <c r="A43" s="10" t="s">
        <v>279</v>
      </c>
      <c r="B43" s="228">
        <f>'Reynolds Number'!L33</f>
        <v>3279750.4163030502</v>
      </c>
      <c r="C43" s="228">
        <f>B43/'Reynolds Number'!D17</f>
        <v>1085326.9200274858</v>
      </c>
      <c r="D43" s="130">
        <f>G15</f>
        <v>0.12891490596739702</v>
      </c>
      <c r="E43" s="53">
        <v>6.0000000000000001E-3</v>
      </c>
      <c r="F43" s="228">
        <v>3000000</v>
      </c>
      <c r="G43" s="53">
        <v>6.0000000000000001E-3</v>
      </c>
      <c r="H43" s="11"/>
      <c r="I43" s="11"/>
      <c r="J43" s="11"/>
      <c r="K43" s="53">
        <v>0</v>
      </c>
    </row>
    <row r="45" spans="1:16" x14ac:dyDescent="0.25">
      <c r="A45" s="21"/>
      <c r="B45" s="21"/>
      <c r="C45" s="21"/>
      <c r="D45" s="21" t="s">
        <v>74</v>
      </c>
      <c r="E45" s="21"/>
      <c r="F45" s="48" t="s">
        <v>74</v>
      </c>
      <c r="G45" s="193"/>
      <c r="H45" s="193"/>
      <c r="I45" s="193"/>
      <c r="J45" s="166"/>
    </row>
    <row r="46" spans="1:16" ht="18" x14ac:dyDescent="0.35">
      <c r="A46" s="21"/>
      <c r="B46" s="21"/>
      <c r="C46" s="21"/>
      <c r="D46" s="21" t="s">
        <v>75</v>
      </c>
      <c r="E46" s="21" t="s">
        <v>21</v>
      </c>
      <c r="F46" s="48" t="s">
        <v>76</v>
      </c>
      <c r="G46" s="193"/>
      <c r="H46" s="193"/>
      <c r="I46" s="193"/>
      <c r="J46" s="166" t="s">
        <v>77</v>
      </c>
    </row>
    <row r="47" spans="1:16" ht="18.75" x14ac:dyDescent="0.35">
      <c r="A47" s="23" t="str">
        <f>A19</f>
        <v>Bodies of Revolution</v>
      </c>
      <c r="B47" s="225" t="s">
        <v>61</v>
      </c>
      <c r="C47" s="226" t="s">
        <v>44</v>
      </c>
      <c r="D47" s="225" t="s">
        <v>78</v>
      </c>
      <c r="E47" s="226" t="s">
        <v>30</v>
      </c>
      <c r="F47" s="229" t="s">
        <v>79</v>
      </c>
      <c r="G47" s="230" t="s">
        <v>269</v>
      </c>
      <c r="H47" s="231" t="s">
        <v>270</v>
      </c>
      <c r="I47" s="231"/>
      <c r="J47" s="232" t="s">
        <v>80</v>
      </c>
    </row>
    <row r="48" spans="1:16" x14ac:dyDescent="0.25">
      <c r="A48" s="19" t="str">
        <f>A20</f>
        <v>fuselage</v>
      </c>
      <c r="B48" s="228">
        <f>'Reynolds Number'!G25</f>
        <v>19535884.560494743</v>
      </c>
      <c r="C48" s="130">
        <v>0.21568411766862725</v>
      </c>
      <c r="D48" s="53">
        <f>3*(F20/H20)+(4*SQRT(I20))+(21*POWER(I20,2))</f>
        <v>16.743814578618057</v>
      </c>
      <c r="E48" s="130">
        <f>E20</f>
        <v>50.088900739558554</v>
      </c>
      <c r="F48" s="53">
        <f>1+(1.5*POWER(I20,1.5))+(7*POWER(I20,3))</f>
        <v>1.2204862238658982</v>
      </c>
      <c r="G48" s="233">
        <f>0.455/LOG10(B48)^2.58</f>
        <v>2.7042468698997737E-3</v>
      </c>
      <c r="H48" s="233">
        <f>F48*G48</f>
        <v>3.30049605064515E-3</v>
      </c>
      <c r="I48" s="234"/>
      <c r="J48" s="235">
        <f>E48*H48</f>
        <v>0.16531821907206995</v>
      </c>
    </row>
    <row r="52" spans="1:10" ht="18" x14ac:dyDescent="0.35">
      <c r="A52" s="21"/>
      <c r="B52" s="21" t="s">
        <v>81</v>
      </c>
      <c r="C52" s="21"/>
      <c r="D52" s="21"/>
      <c r="E52" s="186"/>
      <c r="F52" s="191"/>
      <c r="G52" s="191"/>
      <c r="H52" s="191"/>
      <c r="I52" s="192"/>
      <c r="J52" s="21" t="s">
        <v>77</v>
      </c>
    </row>
    <row r="53" spans="1:10" x14ac:dyDescent="0.25">
      <c r="A53" s="23" t="str">
        <f>A25</f>
        <v>Miscellaneous</v>
      </c>
      <c r="B53" s="225" t="s">
        <v>82</v>
      </c>
      <c r="C53" s="21" t="s">
        <v>83</v>
      </c>
      <c r="D53" s="21" t="s">
        <v>84</v>
      </c>
      <c r="E53" s="186"/>
      <c r="F53" s="191"/>
      <c r="G53" s="191"/>
      <c r="H53" s="191"/>
      <c r="I53" s="192"/>
      <c r="J53" s="25" t="s">
        <v>85</v>
      </c>
    </row>
    <row r="54" spans="1:10" x14ac:dyDescent="0.25">
      <c r="A54" s="5" t="s">
        <v>86</v>
      </c>
      <c r="B54" s="53">
        <v>0.5</v>
      </c>
      <c r="C54" s="81" t="s">
        <v>87</v>
      </c>
      <c r="D54" s="6"/>
      <c r="E54" s="6"/>
      <c r="F54" s="6"/>
      <c r="G54" s="6"/>
      <c r="H54" s="6"/>
      <c r="I54" s="6"/>
      <c r="J54" s="7"/>
    </row>
    <row r="55" spans="1:10" x14ac:dyDescent="0.25">
      <c r="A55" s="9" t="s">
        <v>88</v>
      </c>
      <c r="B55" s="53">
        <v>0.5</v>
      </c>
      <c r="C55" s="82"/>
      <c r="J55" s="8"/>
    </row>
    <row r="56" spans="1:10" x14ac:dyDescent="0.25">
      <c r="A56" s="9" t="str">
        <f>A28</f>
        <v>Nose gear strut or tail strut</v>
      </c>
      <c r="B56" s="58" t="s">
        <v>249</v>
      </c>
      <c r="C56" s="82"/>
      <c r="J56" s="8"/>
    </row>
    <row r="57" spans="1:10" x14ac:dyDescent="0.25">
      <c r="A57" s="9" t="str">
        <f>A29</f>
        <v>Nose tire or tailwheel</v>
      </c>
      <c r="B57" s="58" t="s">
        <v>249</v>
      </c>
      <c r="C57" s="82"/>
      <c r="J57" s="8"/>
    </row>
    <row r="58" spans="1:10" x14ac:dyDescent="0.25">
      <c r="A58" s="9" t="str">
        <f>A30</f>
        <v>wheel cavity</v>
      </c>
      <c r="B58" s="53">
        <v>8.0000000000000002E-3</v>
      </c>
      <c r="C58" s="82"/>
      <c r="J58" s="8"/>
    </row>
    <row r="59" spans="1:10" x14ac:dyDescent="0.25">
      <c r="A59" s="9" t="str">
        <f>A31</f>
        <v>strut cavity</v>
      </c>
      <c r="B59" s="53">
        <v>8.0000000000000002E-3</v>
      </c>
      <c r="C59" s="82"/>
      <c r="J59" s="8"/>
    </row>
    <row r="60" spans="1:10" x14ac:dyDescent="0.25">
      <c r="A60" s="9" t="str">
        <f>A32</f>
        <v>landing gear door</v>
      </c>
      <c r="B60" s="236" t="s">
        <v>248</v>
      </c>
      <c r="C60" s="82"/>
      <c r="J60" s="8"/>
    </row>
    <row r="61" spans="1:10" x14ac:dyDescent="0.25">
      <c r="A61" s="10" t="s">
        <v>89</v>
      </c>
      <c r="B61" s="235">
        <v>0.1</v>
      </c>
      <c r="C61" s="78"/>
      <c r="D61" s="11"/>
      <c r="E61" s="11"/>
      <c r="F61" s="11"/>
      <c r="G61" s="11"/>
      <c r="H61" s="11"/>
      <c r="I61" s="11"/>
      <c r="J61" s="12"/>
    </row>
    <row r="62" spans="1:10" ht="18" x14ac:dyDescent="0.35">
      <c r="A62" s="21"/>
      <c r="B62" s="167"/>
      <c r="C62" s="21"/>
      <c r="D62" s="21"/>
      <c r="E62" s="21"/>
      <c r="F62" s="21"/>
      <c r="G62" s="186"/>
      <c r="H62" s="191"/>
      <c r="I62" s="192"/>
      <c r="J62" s="21" t="s">
        <v>77</v>
      </c>
    </row>
    <row r="63" spans="1:10" ht="17.25" x14ac:dyDescent="0.25">
      <c r="A63" s="23" t="s">
        <v>90</v>
      </c>
      <c r="B63" s="225" t="s">
        <v>91</v>
      </c>
      <c r="C63" s="21"/>
      <c r="D63" s="21" t="s">
        <v>92</v>
      </c>
      <c r="E63" s="21"/>
      <c r="F63" s="21" t="s">
        <v>84</v>
      </c>
      <c r="G63" s="186"/>
      <c r="H63" s="191"/>
      <c r="I63" s="192"/>
      <c r="J63" s="25" t="s">
        <v>93</v>
      </c>
    </row>
    <row r="64" spans="1:10" x14ac:dyDescent="0.25">
      <c r="A64" s="5" t="s">
        <v>94</v>
      </c>
      <c r="B64" s="237">
        <f>0.8*(E13)^3-0.0003</f>
        <v>2.4466378307164884E-3</v>
      </c>
      <c r="C64" s="6"/>
      <c r="D64" s="6"/>
      <c r="E64" s="6"/>
      <c r="F64" s="6"/>
      <c r="G64" s="6"/>
      <c r="H64" s="6"/>
      <c r="I64" s="6"/>
      <c r="J64" s="7"/>
    </row>
    <row r="65" spans="1:10" x14ac:dyDescent="0.25">
      <c r="A65" s="10" t="s">
        <v>95</v>
      </c>
      <c r="B65" s="53">
        <v>0.05</v>
      </c>
      <c r="C65" s="11"/>
      <c r="D65" s="11"/>
      <c r="E65" s="11"/>
      <c r="F65" s="11"/>
      <c r="G65" s="11"/>
      <c r="H65" s="11"/>
      <c r="I65" s="11"/>
      <c r="J65" s="12"/>
    </row>
    <row r="67" spans="1:10" x14ac:dyDescent="0.25">
      <c r="A67" s="21"/>
      <c r="B67" s="21" t="s">
        <v>96</v>
      </c>
      <c r="C67" s="21"/>
      <c r="D67" s="21"/>
      <c r="E67" s="21"/>
      <c r="F67" s="21" t="s">
        <v>97</v>
      </c>
      <c r="G67" s="186"/>
      <c r="H67" s="191"/>
      <c r="I67" s="192"/>
      <c r="J67" s="21"/>
    </row>
    <row r="68" spans="1:10" ht="18.75" x14ac:dyDescent="0.35">
      <c r="A68" s="23" t="s">
        <v>98</v>
      </c>
      <c r="B68" s="225" t="s">
        <v>99</v>
      </c>
      <c r="C68" s="21"/>
      <c r="D68" s="21"/>
      <c r="E68" s="21"/>
      <c r="F68" s="21" t="s">
        <v>100</v>
      </c>
      <c r="G68" s="186"/>
      <c r="H68" s="191"/>
      <c r="I68" s="192"/>
      <c r="J68" s="21" t="s">
        <v>101</v>
      </c>
    </row>
    <row r="69" spans="1:10" x14ac:dyDescent="0.25">
      <c r="B69" s="235">
        <v>0.05</v>
      </c>
    </row>
    <row r="71" spans="1:10" x14ac:dyDescent="0.25">
      <c r="A71" s="26" t="s">
        <v>103</v>
      </c>
      <c r="B71" s="21"/>
      <c r="C71" s="21"/>
      <c r="D71" s="21"/>
      <c r="E71" s="21"/>
      <c r="F71" s="21" t="s">
        <v>104</v>
      </c>
      <c r="G71" s="186"/>
      <c r="H71" s="191"/>
      <c r="I71" s="192"/>
      <c r="J71" s="21" t="s">
        <v>105</v>
      </c>
    </row>
    <row r="72" spans="1:10" ht="18.75" x14ac:dyDescent="0.35">
      <c r="A72" s="26" t="s">
        <v>106</v>
      </c>
      <c r="B72" s="21"/>
      <c r="C72" s="21"/>
      <c r="D72" s="21"/>
      <c r="E72" s="21"/>
      <c r="F72" s="21" t="s">
        <v>107</v>
      </c>
      <c r="G72" s="186"/>
      <c r="H72" s="191"/>
      <c r="I72" s="192"/>
      <c r="J72" s="21" t="s">
        <v>108</v>
      </c>
    </row>
    <row r="74" spans="1:10" x14ac:dyDescent="0.25">
      <c r="A74" s="190"/>
      <c r="B74" s="190"/>
      <c r="C74" s="190" t="s">
        <v>267</v>
      </c>
      <c r="D74" s="190" t="s">
        <v>268</v>
      </c>
    </row>
    <row r="75" spans="1:10" x14ac:dyDescent="0.25">
      <c r="A75" s="190" t="s">
        <v>261</v>
      </c>
      <c r="B75" s="190" t="s">
        <v>264</v>
      </c>
      <c r="C75" s="190"/>
      <c r="D75" s="190"/>
    </row>
    <row r="76" spans="1:10" x14ac:dyDescent="0.25">
      <c r="A76" s="190" t="s">
        <v>262</v>
      </c>
      <c r="B76" s="190" t="s">
        <v>265</v>
      </c>
      <c r="C76" s="190"/>
      <c r="D76" s="190"/>
    </row>
    <row r="77" spans="1:10" x14ac:dyDescent="0.25">
      <c r="A77" s="190" t="s">
        <v>263</v>
      </c>
      <c r="B77" s="190" t="s">
        <v>266</v>
      </c>
      <c r="C77" s="190"/>
      <c r="D77" s="190"/>
    </row>
  </sheetData>
  <mergeCells count="22">
    <mergeCell ref="G62:I62"/>
    <mergeCell ref="G63:I63"/>
    <mergeCell ref="G67:I67"/>
    <mergeCell ref="G68:I68"/>
    <mergeCell ref="G71:I71"/>
    <mergeCell ref="G72:I72"/>
    <mergeCell ref="E52:I52"/>
    <mergeCell ref="E53:I53"/>
    <mergeCell ref="F36:F37"/>
    <mergeCell ref="E36:E37"/>
    <mergeCell ref="L41:P41"/>
    <mergeCell ref="P6:R6"/>
    <mergeCell ref="P7:P8"/>
    <mergeCell ref="Q7:R8"/>
    <mergeCell ref="P9:R9"/>
    <mergeCell ref="P10:P11"/>
    <mergeCell ref="Q10:R11"/>
    <mergeCell ref="H3:J3"/>
    <mergeCell ref="P1:R2"/>
    <mergeCell ref="P3:R3"/>
    <mergeCell ref="P4:P5"/>
    <mergeCell ref="Q4:R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ACDF-6618-49CE-8FF6-C31A2AE24098}">
  <dimension ref="A1:AA4"/>
  <sheetViews>
    <sheetView workbookViewId="0">
      <selection activeCell="O28" sqref="O28"/>
    </sheetView>
  </sheetViews>
  <sheetFormatPr defaultRowHeight="15" x14ac:dyDescent="0.25"/>
  <sheetData>
    <row r="1" spans="1:27" x14ac:dyDescent="0.25">
      <c r="A1" s="87" t="s">
        <v>109</v>
      </c>
      <c r="B1" s="88"/>
      <c r="C1" s="88"/>
      <c r="D1" s="89"/>
      <c r="E1" s="89"/>
      <c r="F1" s="90"/>
      <c r="H1" s="87" t="s">
        <v>110</v>
      </c>
      <c r="I1" s="88"/>
      <c r="J1" s="88"/>
      <c r="K1" s="89"/>
      <c r="L1" s="89"/>
      <c r="M1" s="90"/>
      <c r="O1" s="87" t="s">
        <v>111</v>
      </c>
      <c r="P1" s="88"/>
      <c r="Q1" s="88"/>
      <c r="R1" s="89"/>
      <c r="S1" s="89"/>
      <c r="T1" s="90"/>
      <c r="V1" s="87" t="s">
        <v>271</v>
      </c>
      <c r="W1" s="88"/>
      <c r="X1" s="88"/>
      <c r="Y1" s="89"/>
      <c r="Z1" s="89"/>
      <c r="AA1" s="90"/>
    </row>
    <row r="2" spans="1:27" x14ac:dyDescent="0.25">
      <c r="A2" s="91" t="s">
        <v>112</v>
      </c>
      <c r="B2" s="83"/>
      <c r="C2" s="83"/>
      <c r="D2" s="92">
        <v>85</v>
      </c>
      <c r="E2" s="92"/>
      <c r="F2" s="45" t="s">
        <v>113</v>
      </c>
      <c r="H2" s="91" t="s">
        <v>112</v>
      </c>
      <c r="I2" s="83"/>
      <c r="J2" s="83"/>
      <c r="K2" s="92">
        <v>93</v>
      </c>
      <c r="L2" s="92"/>
      <c r="M2" s="45" t="s">
        <v>113</v>
      </c>
      <c r="O2" s="91" t="s">
        <v>114</v>
      </c>
      <c r="P2" s="83"/>
      <c r="Q2" s="83"/>
      <c r="R2" s="92">
        <v>136</v>
      </c>
      <c r="S2" s="92"/>
      <c r="T2" s="45" t="s">
        <v>113</v>
      </c>
      <c r="V2" s="91" t="s">
        <v>272</v>
      </c>
      <c r="W2" s="83"/>
      <c r="X2" s="83"/>
      <c r="Y2" s="92">
        <v>45</v>
      </c>
      <c r="Z2" s="92"/>
      <c r="AA2" s="45" t="s">
        <v>113</v>
      </c>
    </row>
    <row r="3" spans="1:27" x14ac:dyDescent="0.25">
      <c r="A3" s="91" t="s">
        <v>115</v>
      </c>
      <c r="B3" s="83"/>
      <c r="C3" s="83"/>
      <c r="D3" s="92">
        <v>18</v>
      </c>
      <c r="E3" s="92"/>
      <c r="F3" s="45" t="s">
        <v>10</v>
      </c>
      <c r="H3" s="91" t="s">
        <v>115</v>
      </c>
      <c r="I3" s="83"/>
      <c r="J3" s="83"/>
      <c r="K3" s="92">
        <v>20.833300000000001</v>
      </c>
      <c r="L3" s="92"/>
      <c r="M3" s="45" t="s">
        <v>10</v>
      </c>
      <c r="O3" s="91" t="s">
        <v>116</v>
      </c>
      <c r="P3" s="83"/>
      <c r="Q3" s="83"/>
      <c r="R3" s="92">
        <v>29.332999999999998</v>
      </c>
      <c r="S3" s="92"/>
      <c r="T3" s="45" t="s">
        <v>10</v>
      </c>
      <c r="V3" s="91" t="s">
        <v>273</v>
      </c>
      <c r="W3" s="83"/>
      <c r="X3" s="83"/>
      <c r="Y3" s="92">
        <v>6.0830000000000002</v>
      </c>
      <c r="Z3" s="92"/>
      <c r="AA3" s="45" t="s">
        <v>10</v>
      </c>
    </row>
    <row r="4" spans="1:27" x14ac:dyDescent="0.25">
      <c r="A4" s="84" t="s">
        <v>117</v>
      </c>
      <c r="B4" s="85"/>
      <c r="C4" s="85"/>
      <c r="D4" s="86">
        <f>D2/D3</f>
        <v>4.7222222222222223</v>
      </c>
      <c r="E4" s="86"/>
      <c r="F4" s="37" t="s">
        <v>118</v>
      </c>
      <c r="H4" s="84" t="s">
        <v>117</v>
      </c>
      <c r="I4" s="85"/>
      <c r="J4" s="85"/>
      <c r="K4" s="86">
        <f>K2/K3</f>
        <v>4.4640071424114272</v>
      </c>
      <c r="L4" s="86"/>
      <c r="M4" s="37" t="s">
        <v>118</v>
      </c>
      <c r="O4" s="84" t="s">
        <v>117</v>
      </c>
      <c r="P4" s="85"/>
      <c r="Q4" s="85"/>
      <c r="R4" s="86">
        <f>R2/R3</f>
        <v>4.6364163229127611</v>
      </c>
      <c r="S4" s="86"/>
      <c r="T4" s="37" t="s">
        <v>118</v>
      </c>
      <c r="V4" s="84" t="s">
        <v>117</v>
      </c>
      <c r="W4" s="85"/>
      <c r="X4" s="85"/>
      <c r="Y4" s="86">
        <f>Y2/Y3</f>
        <v>7.397665625513727</v>
      </c>
      <c r="Z4" s="86"/>
      <c r="AA4" s="79" t="s">
        <v>118</v>
      </c>
    </row>
  </sheetData>
  <mergeCells count="28">
    <mergeCell ref="V4:X4"/>
    <mergeCell ref="Y4:Z4"/>
    <mergeCell ref="V1:AA1"/>
    <mergeCell ref="V2:X2"/>
    <mergeCell ref="Y2:Z2"/>
    <mergeCell ref="V3:X3"/>
    <mergeCell ref="Y3:Z3"/>
    <mergeCell ref="O4:Q4"/>
    <mergeCell ref="R4:S4"/>
    <mergeCell ref="H1:M1"/>
    <mergeCell ref="H2:J2"/>
    <mergeCell ref="K2:L2"/>
    <mergeCell ref="H3:J3"/>
    <mergeCell ref="K3:L3"/>
    <mergeCell ref="H4:J4"/>
    <mergeCell ref="K4:L4"/>
    <mergeCell ref="O1:T1"/>
    <mergeCell ref="O2:Q2"/>
    <mergeCell ref="R2:S2"/>
    <mergeCell ref="O3:Q3"/>
    <mergeCell ref="R3:S3"/>
    <mergeCell ref="A4:C4"/>
    <mergeCell ref="D4:E4"/>
    <mergeCell ref="A1:F1"/>
    <mergeCell ref="A2:C2"/>
    <mergeCell ref="D2:E2"/>
    <mergeCell ref="A3:C3"/>
    <mergeCell ref="D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1FD3-A768-42CE-AD5E-406E0247B193}">
  <dimension ref="A1:K23"/>
  <sheetViews>
    <sheetView workbookViewId="0">
      <selection activeCell="G12" sqref="G12"/>
    </sheetView>
  </sheetViews>
  <sheetFormatPr defaultRowHeight="15" x14ac:dyDescent="0.25"/>
  <cols>
    <col min="1" max="1" width="10.28515625" bestFit="1" customWidth="1"/>
    <col min="2" max="2" width="11.42578125" customWidth="1"/>
    <col min="3" max="3" width="11.85546875" style="2" bestFit="1" customWidth="1"/>
    <col min="4" max="4" width="14" bestFit="1" customWidth="1"/>
    <col min="5" max="5" width="11.85546875" style="2" bestFit="1" customWidth="1"/>
    <col min="6" max="6" width="14.42578125" style="2" bestFit="1" customWidth="1"/>
    <col min="8" max="8" width="25.5703125" customWidth="1"/>
    <col min="9" max="9" width="11.140625" customWidth="1"/>
    <col min="10" max="10" width="16.140625" customWidth="1"/>
    <col min="11" max="11" width="72.85546875" customWidth="1"/>
  </cols>
  <sheetData>
    <row r="1" spans="1:11" x14ac:dyDescent="0.25">
      <c r="A1" s="93" t="s">
        <v>119</v>
      </c>
      <c r="B1" s="93"/>
      <c r="C1" s="93"/>
      <c r="J1" s="83" t="s">
        <v>214</v>
      </c>
      <c r="K1" s="83"/>
    </row>
    <row r="2" spans="1:11" x14ac:dyDescent="0.25">
      <c r="A2" t="s">
        <v>120</v>
      </c>
      <c r="B2" s="53">
        <v>7500</v>
      </c>
      <c r="C2" s="2" t="s">
        <v>121</v>
      </c>
      <c r="D2" t="s">
        <v>122</v>
      </c>
      <c r="E2" s="54"/>
      <c r="F2" s="2" t="s">
        <v>123</v>
      </c>
      <c r="G2" s="53"/>
      <c r="H2" t="s">
        <v>124</v>
      </c>
    </row>
    <row r="3" spans="1:11" x14ac:dyDescent="0.25">
      <c r="B3" s="94" t="s">
        <v>125</v>
      </c>
      <c r="C3" s="94"/>
      <c r="D3" s="94"/>
      <c r="E3" s="94"/>
      <c r="F3" s="94"/>
      <c r="G3" s="94"/>
      <c r="H3" s="94"/>
      <c r="I3" s="75"/>
    </row>
    <row r="4" spans="1:11" x14ac:dyDescent="0.25">
      <c r="A4" s="32" t="s">
        <v>126</v>
      </c>
      <c r="B4" s="6"/>
      <c r="C4" s="46"/>
      <c r="D4" s="13" t="s">
        <v>127</v>
      </c>
      <c r="E4" s="47"/>
    </row>
    <row r="5" spans="1:11" x14ac:dyDescent="0.25">
      <c r="A5" s="9" t="s">
        <v>128</v>
      </c>
      <c r="B5" s="53">
        <v>7500</v>
      </c>
      <c r="C5" s="2" t="s">
        <v>121</v>
      </c>
      <c r="D5" s="53">
        <v>7500</v>
      </c>
      <c r="E5" s="45" t="s">
        <v>121</v>
      </c>
    </row>
    <row r="6" spans="1:11" x14ac:dyDescent="0.25">
      <c r="A6" s="9" t="s">
        <v>129</v>
      </c>
      <c r="B6" s="53"/>
      <c r="C6" s="2" t="s">
        <v>130</v>
      </c>
      <c r="D6" s="129">
        <f>E13-459.67</f>
        <v>32.269259839999961</v>
      </c>
      <c r="E6" s="45" t="s">
        <v>131</v>
      </c>
      <c r="J6" t="s">
        <v>217</v>
      </c>
      <c r="K6" t="s">
        <v>218</v>
      </c>
    </row>
    <row r="7" spans="1:11" x14ac:dyDescent="0.25">
      <c r="A7" s="9" t="s">
        <v>132</v>
      </c>
      <c r="B7" s="53">
        <v>0.75709000000000004</v>
      </c>
      <c r="C7" s="2" t="s">
        <v>133</v>
      </c>
      <c r="D7" s="53">
        <v>0.75709000000000004</v>
      </c>
      <c r="E7" s="45" t="s">
        <v>133</v>
      </c>
    </row>
    <row r="8" spans="1:11" x14ac:dyDescent="0.25">
      <c r="A8" s="9" t="s">
        <v>134</v>
      </c>
      <c r="B8" s="53">
        <v>0.94843</v>
      </c>
      <c r="C8" s="2" t="s">
        <v>133</v>
      </c>
      <c r="D8" s="53">
        <v>0.94843</v>
      </c>
      <c r="E8" s="45" t="s">
        <v>133</v>
      </c>
    </row>
    <row r="9" spans="1:11" x14ac:dyDescent="0.25">
      <c r="A9" s="10" t="s">
        <v>135</v>
      </c>
      <c r="B9" s="53">
        <v>0.79825000000000002</v>
      </c>
      <c r="C9" s="18" t="s">
        <v>133</v>
      </c>
      <c r="D9" s="53">
        <v>0.79825000000000002</v>
      </c>
      <c r="E9" s="37" t="s">
        <v>133</v>
      </c>
    </row>
    <row r="11" spans="1:11" x14ac:dyDescent="0.25">
      <c r="A11" s="4" t="s">
        <v>136</v>
      </c>
    </row>
    <row r="12" spans="1:11" ht="18.75" x14ac:dyDescent="0.35">
      <c r="A12" s="59" t="s">
        <v>137</v>
      </c>
      <c r="B12" s="53">
        <v>2116.2199999999998</v>
      </c>
      <c r="C12" s="28" t="s">
        <v>138</v>
      </c>
      <c r="D12" s="55" t="s">
        <v>139</v>
      </c>
      <c r="E12" s="54">
        <f>B7*B12</f>
        <v>1602.1689997999999</v>
      </c>
      <c r="F12" s="35" t="s">
        <v>138</v>
      </c>
      <c r="J12" t="s">
        <v>215</v>
      </c>
      <c r="K12" t="s">
        <v>216</v>
      </c>
    </row>
    <row r="13" spans="1:11" ht="18" x14ac:dyDescent="0.35">
      <c r="A13" s="60" t="s">
        <v>140</v>
      </c>
      <c r="B13" s="53">
        <v>518.68799999999999</v>
      </c>
      <c r="C13" s="2" t="s">
        <v>141</v>
      </c>
      <c r="D13" s="56" t="s">
        <v>142</v>
      </c>
      <c r="E13" s="127">
        <f>B8*B13</f>
        <v>491.93925983999998</v>
      </c>
      <c r="F13" s="45" t="s">
        <v>141</v>
      </c>
    </row>
    <row r="14" spans="1:11" ht="18.75" x14ac:dyDescent="0.35">
      <c r="A14" s="60" t="s">
        <v>143</v>
      </c>
      <c r="B14" s="53">
        <v>2.3770000000000002E-3</v>
      </c>
      <c r="C14" s="2" t="s">
        <v>144</v>
      </c>
      <c r="D14" s="56" t="s">
        <v>145</v>
      </c>
      <c r="E14" s="54">
        <f>B9*B14</f>
        <v>1.8974402500000001E-3</v>
      </c>
      <c r="F14" s="45" t="s">
        <v>144</v>
      </c>
    </row>
    <row r="15" spans="1:11" ht="18" x14ac:dyDescent="0.35">
      <c r="A15" s="60" t="s">
        <v>146</v>
      </c>
      <c r="B15" s="62">
        <v>3.8746E-7</v>
      </c>
      <c r="C15" s="2" t="s">
        <v>147</v>
      </c>
      <c r="D15" s="56" t="s">
        <v>148</v>
      </c>
      <c r="E15" s="125">
        <v>3.5895999999999998E-7</v>
      </c>
      <c r="F15" s="45" t="s">
        <v>147</v>
      </c>
    </row>
    <row r="16" spans="1:11" ht="18.75" x14ac:dyDescent="0.35">
      <c r="A16" s="61" t="s">
        <v>149</v>
      </c>
      <c r="B16" s="62">
        <v>1.5922000000000001E-4</v>
      </c>
      <c r="C16" s="18" t="s">
        <v>150</v>
      </c>
      <c r="D16" s="57" t="s">
        <v>151</v>
      </c>
      <c r="E16" s="154">
        <v>1.8919E-4</v>
      </c>
      <c r="F16" s="37" t="s">
        <v>150</v>
      </c>
    </row>
    <row r="17" spans="1:6" x14ac:dyDescent="0.25">
      <c r="D17" s="126" t="s">
        <v>208</v>
      </c>
      <c r="E17" s="72">
        <v>1086.8</v>
      </c>
      <c r="F17" s="2" t="s">
        <v>209</v>
      </c>
    </row>
    <row r="20" spans="1:6" x14ac:dyDescent="0.25">
      <c r="A20" s="93" t="s">
        <v>210</v>
      </c>
      <c r="B20" s="93"/>
      <c r="C20" s="131"/>
    </row>
    <row r="21" spans="1:6" x14ac:dyDescent="0.25">
      <c r="A21" s="53">
        <v>140</v>
      </c>
      <c r="B21" s="71" t="s">
        <v>211</v>
      </c>
    </row>
    <row r="22" spans="1:6" x14ac:dyDescent="0.25">
      <c r="A22" s="53">
        <v>121.6</v>
      </c>
      <c r="B22" s="71" t="s">
        <v>212</v>
      </c>
    </row>
    <row r="23" spans="1:6" x14ac:dyDescent="0.25">
      <c r="A23" s="153">
        <v>205.333</v>
      </c>
      <c r="B23" s="71" t="s">
        <v>213</v>
      </c>
    </row>
  </sheetData>
  <mergeCells count="4">
    <mergeCell ref="A1:C1"/>
    <mergeCell ref="B3:H3"/>
    <mergeCell ref="A20:B20"/>
    <mergeCell ref="J1:K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ED56-8749-4EB0-83F3-87BB81EC3A74}">
  <dimension ref="A1:Q37"/>
  <sheetViews>
    <sheetView workbookViewId="0">
      <selection activeCell="G29" sqref="G29"/>
    </sheetView>
  </sheetViews>
  <sheetFormatPr defaultRowHeight="15" x14ac:dyDescent="0.25"/>
  <cols>
    <col min="1" max="1" width="18.28515625" customWidth="1"/>
    <col min="4" max="4" width="17" customWidth="1"/>
    <col min="9" max="9" width="9.140625" style="71"/>
    <col min="10" max="10" width="18.28515625" customWidth="1"/>
    <col min="11" max="11" width="9.140625" style="71"/>
    <col min="12" max="12" width="10.28515625" customWidth="1"/>
    <col min="17" max="17" width="13.28515625" customWidth="1"/>
  </cols>
  <sheetData>
    <row r="1" spans="1:17" x14ac:dyDescent="0.25">
      <c r="A1" s="93" t="s">
        <v>219</v>
      </c>
      <c r="B1" s="93"/>
      <c r="C1" s="93"/>
      <c r="D1" s="93"/>
      <c r="N1" s="83" t="s">
        <v>214</v>
      </c>
      <c r="O1" s="83"/>
      <c r="P1" s="83"/>
      <c r="Q1" s="83"/>
    </row>
    <row r="2" spans="1:17" x14ac:dyDescent="0.25">
      <c r="N2" s="71" t="s">
        <v>172</v>
      </c>
      <c r="O2" s="83" t="s">
        <v>227</v>
      </c>
      <c r="P2" s="83"/>
      <c r="Q2" s="83"/>
    </row>
    <row r="3" spans="1:17" x14ac:dyDescent="0.25">
      <c r="A3" s="4" t="s">
        <v>153</v>
      </c>
      <c r="B3" s="71"/>
      <c r="O3" s="83"/>
      <c r="P3" s="83"/>
      <c r="Q3" s="83"/>
    </row>
    <row r="4" spans="1:17" x14ac:dyDescent="0.25">
      <c r="A4" s="77" t="s">
        <v>154</v>
      </c>
      <c r="B4" s="68"/>
      <c r="C4" s="66" t="s">
        <v>155</v>
      </c>
      <c r="D4" s="66" t="s">
        <v>10</v>
      </c>
      <c r="E4" s="68"/>
      <c r="F4" s="68" t="s">
        <v>156</v>
      </c>
      <c r="G4" s="80" t="s">
        <v>157</v>
      </c>
      <c r="I4" s="142" t="s">
        <v>207</v>
      </c>
      <c r="J4" s="72">
        <v>205.333</v>
      </c>
      <c r="K4" s="80" t="s">
        <v>209</v>
      </c>
      <c r="O4" s="83"/>
      <c r="P4" s="83"/>
      <c r="Q4" s="83"/>
    </row>
    <row r="5" spans="1:17" ht="18" x14ac:dyDescent="0.35">
      <c r="A5" s="9" t="s">
        <v>160</v>
      </c>
      <c r="B5" s="135" t="s">
        <v>161</v>
      </c>
      <c r="C5" s="53">
        <v>26</v>
      </c>
      <c r="D5" s="53">
        <v>5.8243597124558413</v>
      </c>
      <c r="E5" s="137" t="s">
        <v>162</v>
      </c>
      <c r="F5" s="149">
        <v>1180</v>
      </c>
      <c r="G5" s="150">
        <v>57.013024146099234</v>
      </c>
      <c r="I5" s="70" t="s">
        <v>226</v>
      </c>
      <c r="J5" s="72">
        <v>4.614685002945782</v>
      </c>
      <c r="K5" s="45" t="s">
        <v>121</v>
      </c>
      <c r="O5" s="83"/>
      <c r="P5" s="83"/>
      <c r="Q5" s="83"/>
    </row>
    <row r="6" spans="1:17" ht="18.75" x14ac:dyDescent="0.35">
      <c r="A6" s="9" t="s">
        <v>164</v>
      </c>
      <c r="B6" s="135" t="s">
        <v>220</v>
      </c>
      <c r="C6" s="53">
        <v>14</v>
      </c>
      <c r="D6" s="53">
        <v>3.1361936913223762</v>
      </c>
      <c r="E6" s="137"/>
      <c r="F6" s="161"/>
      <c r="G6" s="170"/>
      <c r="I6" s="70" t="s">
        <v>151</v>
      </c>
      <c r="J6" s="143">
        <v>1.8919E-4</v>
      </c>
      <c r="K6" s="45" t="s">
        <v>150</v>
      </c>
      <c r="O6" s="83"/>
      <c r="P6" s="83"/>
      <c r="Q6" s="83"/>
    </row>
    <row r="7" spans="1:17" x14ac:dyDescent="0.25">
      <c r="A7" s="9" t="s">
        <v>171</v>
      </c>
      <c r="B7" s="135" t="s">
        <v>172</v>
      </c>
      <c r="C7" s="53">
        <v>59</v>
      </c>
      <c r="D7" s="53">
        <v>12.725335495921422</v>
      </c>
      <c r="E7" s="137"/>
      <c r="F7" s="161"/>
      <c r="G7" s="170"/>
      <c r="I7" s="67" t="s">
        <v>206</v>
      </c>
      <c r="J7" s="144">
        <f>(J4*J5)/J6</f>
        <v>5008441.8611441739</v>
      </c>
      <c r="K7" s="69" t="s">
        <v>133</v>
      </c>
      <c r="O7" s="83"/>
      <c r="P7" s="83"/>
      <c r="Q7" s="83"/>
    </row>
    <row r="8" spans="1:17" x14ac:dyDescent="0.25">
      <c r="A8" s="10"/>
      <c r="B8" s="51" t="s">
        <v>176</v>
      </c>
      <c r="C8" s="58">
        <v>4</v>
      </c>
      <c r="D8" s="53">
        <v>0.89605534037782175</v>
      </c>
      <c r="E8" s="11"/>
      <c r="F8" s="11"/>
      <c r="G8" s="12"/>
      <c r="I8" s="151" t="s">
        <v>228</v>
      </c>
      <c r="J8" s="152">
        <v>5008441.8611441739</v>
      </c>
      <c r="O8" s="83"/>
      <c r="P8" s="83"/>
      <c r="Q8" s="83"/>
    </row>
    <row r="9" spans="1:17" x14ac:dyDescent="0.25">
      <c r="A9" s="157" t="s">
        <v>223</v>
      </c>
      <c r="B9" s="51" t="s">
        <v>224</v>
      </c>
      <c r="C9" s="53">
        <f>C6/C5</f>
        <v>0.53846153846153844</v>
      </c>
      <c r="D9" s="53">
        <f>D6/D5</f>
        <v>0.53846153846153844</v>
      </c>
      <c r="E9" s="11"/>
      <c r="F9" s="11"/>
      <c r="G9" s="12"/>
      <c r="O9" s="83"/>
      <c r="P9" s="83"/>
      <c r="Q9" s="83"/>
    </row>
    <row r="10" spans="1:17" x14ac:dyDescent="0.25">
      <c r="O10" s="83"/>
      <c r="P10" s="83"/>
      <c r="Q10" s="83"/>
    </row>
    <row r="11" spans="1:17" x14ac:dyDescent="0.25">
      <c r="A11" t="s">
        <v>153</v>
      </c>
      <c r="O11" s="83"/>
      <c r="P11" s="83"/>
      <c r="Q11" s="83"/>
    </row>
    <row r="12" spans="1:17" ht="18" x14ac:dyDescent="0.35">
      <c r="A12" s="93" t="s">
        <v>222</v>
      </c>
      <c r="B12" s="93"/>
      <c r="C12" s="93"/>
      <c r="D12" s="93"/>
      <c r="F12" s="83" t="s">
        <v>221</v>
      </c>
      <c r="G12" s="83"/>
      <c r="H12" s="83"/>
      <c r="K12" s="83" t="s">
        <v>219</v>
      </c>
      <c r="L12" s="83"/>
      <c r="O12" s="83"/>
      <c r="P12" s="83"/>
      <c r="Q12" s="83"/>
    </row>
    <row r="13" spans="1:17" x14ac:dyDescent="0.25">
      <c r="A13" s="5"/>
      <c r="B13" s="6"/>
      <c r="C13" s="6"/>
      <c r="D13" s="7"/>
      <c r="O13" s="83"/>
      <c r="P13" s="83"/>
      <c r="Q13" s="83"/>
    </row>
    <row r="14" spans="1:17" x14ac:dyDescent="0.25">
      <c r="A14" s="9"/>
      <c r="B14" s="134"/>
      <c r="C14" s="66" t="s">
        <v>155</v>
      </c>
      <c r="D14" s="204" t="s">
        <v>10</v>
      </c>
      <c r="O14" s="83"/>
      <c r="P14" s="83"/>
      <c r="Q14" s="83"/>
    </row>
    <row r="15" spans="1:17" ht="18" x14ac:dyDescent="0.35">
      <c r="A15" s="9" t="s">
        <v>32</v>
      </c>
      <c r="B15" s="205" t="s">
        <v>226</v>
      </c>
      <c r="C15" s="53">
        <f>(2/3)*C5*((1+C9+(C9^2))/(1+C9))</f>
        <v>20.599999999999998</v>
      </c>
      <c r="D15" s="145">
        <f>(2/3)*D5*((1+C9+(C9^2))/(1+C9))</f>
        <v>4.614685002945782</v>
      </c>
      <c r="O15" s="83"/>
      <c r="P15" s="83"/>
      <c r="Q15" s="83"/>
    </row>
    <row r="16" spans="1:17" ht="18" x14ac:dyDescent="0.35">
      <c r="A16" s="9" t="s">
        <v>186</v>
      </c>
      <c r="B16" s="205" t="s">
        <v>226</v>
      </c>
      <c r="C16" s="53"/>
      <c r="D16" s="53">
        <f>'Top Front View'!J23</f>
        <v>2.4815175996122236</v>
      </c>
      <c r="O16" s="83"/>
      <c r="P16" s="83"/>
      <c r="Q16" s="83"/>
    </row>
    <row r="17" spans="1:17" ht="18" x14ac:dyDescent="0.35">
      <c r="A17" s="9" t="s">
        <v>205</v>
      </c>
      <c r="B17" s="205" t="s">
        <v>226</v>
      </c>
      <c r="C17" s="53"/>
      <c r="D17" s="128">
        <f>'Side View A-E'!I17</f>
        <v>3.0219009183150005</v>
      </c>
      <c r="O17" s="83"/>
      <c r="P17" s="83"/>
      <c r="Q17" s="83"/>
    </row>
    <row r="18" spans="1:17" x14ac:dyDescent="0.25">
      <c r="A18" s="10"/>
      <c r="B18" s="11"/>
      <c r="C18" s="11"/>
      <c r="D18" s="12"/>
      <c r="O18" s="83"/>
      <c r="P18" s="83"/>
      <c r="Q18" s="83"/>
    </row>
    <row r="19" spans="1:17" x14ac:dyDescent="0.25">
      <c r="O19" s="83"/>
      <c r="P19" s="83"/>
      <c r="Q19" s="83"/>
    </row>
    <row r="20" spans="1:17" x14ac:dyDescent="0.25">
      <c r="A20" s="206" t="s">
        <v>237</v>
      </c>
      <c r="B20" s="207"/>
      <c r="C20" s="207"/>
      <c r="D20" s="208"/>
      <c r="F20" s="93" t="s">
        <v>255</v>
      </c>
      <c r="G20" s="93"/>
      <c r="H20" s="93"/>
      <c r="I20" s="139"/>
      <c r="K20" s="93" t="s">
        <v>258</v>
      </c>
      <c r="L20" s="93"/>
      <c r="M20" s="93"/>
      <c r="O20" s="83"/>
      <c r="P20" s="83"/>
      <c r="Q20" s="83"/>
    </row>
    <row r="21" spans="1:17" x14ac:dyDescent="0.25">
      <c r="A21" s="209" t="s">
        <v>32</v>
      </c>
      <c r="B21" s="134"/>
      <c r="C21" s="134"/>
      <c r="D21" s="8"/>
      <c r="F21" s="142" t="s">
        <v>207</v>
      </c>
      <c r="G21" s="72">
        <v>205.333</v>
      </c>
      <c r="H21" s="80" t="s">
        <v>209</v>
      </c>
      <c r="K21" s="142" t="s">
        <v>207</v>
      </c>
      <c r="L21" s="72">
        <v>205.333</v>
      </c>
      <c r="M21" s="80" t="s">
        <v>209</v>
      </c>
      <c r="O21" s="83"/>
      <c r="P21" s="83"/>
      <c r="Q21" s="83"/>
    </row>
    <row r="22" spans="1:17" ht="18" x14ac:dyDescent="0.35">
      <c r="A22" s="5" t="s">
        <v>232</v>
      </c>
      <c r="B22" s="6" t="s">
        <v>33</v>
      </c>
      <c r="C22" s="6">
        <v>23015</v>
      </c>
      <c r="D22" s="7"/>
      <c r="F22" s="70" t="s">
        <v>226</v>
      </c>
      <c r="G22" s="72">
        <v>18</v>
      </c>
      <c r="H22" s="45" t="s">
        <v>121</v>
      </c>
      <c r="K22" s="70" t="s">
        <v>226</v>
      </c>
      <c r="L22" s="72">
        <f>D16</f>
        <v>2.4815175996122236</v>
      </c>
      <c r="M22" s="45" t="s">
        <v>121</v>
      </c>
      <c r="O22" s="83"/>
      <c r="P22" s="83"/>
      <c r="Q22" s="83"/>
    </row>
    <row r="23" spans="1:17" ht="17.25" x14ac:dyDescent="0.25">
      <c r="A23" s="10" t="s">
        <v>233</v>
      </c>
      <c r="B23" s="11" t="s">
        <v>33</v>
      </c>
      <c r="C23" s="11">
        <v>23009</v>
      </c>
      <c r="D23" s="12"/>
      <c r="F23" s="70" t="s">
        <v>151</v>
      </c>
      <c r="G23" s="143">
        <v>1.8919E-4</v>
      </c>
      <c r="H23" s="45" t="s">
        <v>150</v>
      </c>
      <c r="K23" s="70" t="s">
        <v>151</v>
      </c>
      <c r="L23" s="143">
        <v>1.8919E-4</v>
      </c>
      <c r="M23" s="45" t="s">
        <v>150</v>
      </c>
      <c r="O23" s="83"/>
      <c r="P23" s="83"/>
      <c r="Q23" s="83"/>
    </row>
    <row r="24" spans="1:17" x14ac:dyDescent="0.25">
      <c r="A24" s="9"/>
      <c r="B24" s="134"/>
      <c r="C24" s="134"/>
      <c r="D24" s="8"/>
      <c r="F24" s="67" t="s">
        <v>206</v>
      </c>
      <c r="G24" s="144">
        <f>(G21*G22)/G23</f>
        <v>19535884.560494743</v>
      </c>
      <c r="H24" s="69" t="s">
        <v>133</v>
      </c>
      <c r="K24" s="67" t="s">
        <v>206</v>
      </c>
      <c r="L24" s="144">
        <f>(L21*L22)/L23</f>
        <v>2693257.8533811336</v>
      </c>
      <c r="M24" s="69" t="s">
        <v>133</v>
      </c>
      <c r="O24" s="83"/>
      <c r="P24" s="83"/>
      <c r="Q24" s="83"/>
    </row>
    <row r="25" spans="1:17" x14ac:dyDescent="0.25">
      <c r="A25" s="209" t="s">
        <v>234</v>
      </c>
      <c r="B25" s="134"/>
      <c r="C25" s="134"/>
      <c r="D25" s="8"/>
      <c r="F25" s="151" t="s">
        <v>228</v>
      </c>
      <c r="G25" s="152">
        <v>19535884.560494743</v>
      </c>
      <c r="H25" s="71"/>
      <c r="K25" s="151" t="s">
        <v>228</v>
      </c>
      <c r="L25" s="152">
        <f>L24</f>
        <v>2693257.8533811336</v>
      </c>
      <c r="M25" s="71"/>
      <c r="O25" s="83"/>
      <c r="P25" s="83"/>
      <c r="Q25" s="83"/>
    </row>
    <row r="26" spans="1:17" x14ac:dyDescent="0.25">
      <c r="A26" s="9" t="s">
        <v>235</v>
      </c>
      <c r="B26" s="134"/>
      <c r="C26" s="134"/>
      <c r="D26" s="8"/>
      <c r="O26" s="83"/>
      <c r="P26" s="83"/>
      <c r="Q26" s="83"/>
    </row>
    <row r="27" spans="1:17" x14ac:dyDescent="0.25">
      <c r="A27" s="5" t="s">
        <v>232</v>
      </c>
      <c r="B27" s="6" t="s">
        <v>33</v>
      </c>
      <c r="C27" s="211" t="s">
        <v>281</v>
      </c>
      <c r="D27" s="7"/>
      <c r="O27" s="83"/>
      <c r="P27" s="83"/>
      <c r="Q27" s="83"/>
    </row>
    <row r="28" spans="1:17" x14ac:dyDescent="0.25">
      <c r="A28" s="10" t="s">
        <v>233</v>
      </c>
      <c r="B28" s="11" t="s">
        <v>33</v>
      </c>
      <c r="C28" s="210" t="s">
        <v>281</v>
      </c>
      <c r="D28" s="12"/>
      <c r="K28" s="93" t="s">
        <v>258</v>
      </c>
      <c r="L28" s="93"/>
      <c r="M28" s="93"/>
      <c r="O28" s="83"/>
      <c r="P28" s="83"/>
      <c r="Q28" s="83"/>
    </row>
    <row r="29" spans="1:17" x14ac:dyDescent="0.25">
      <c r="A29" s="9"/>
      <c r="B29" s="134"/>
      <c r="C29" s="134"/>
      <c r="D29" s="8"/>
      <c r="K29" s="142" t="s">
        <v>207</v>
      </c>
      <c r="L29" s="72">
        <v>205.333</v>
      </c>
      <c r="M29" s="80" t="s">
        <v>209</v>
      </c>
      <c r="O29" s="83"/>
      <c r="P29" s="83"/>
      <c r="Q29" s="83"/>
    </row>
    <row r="30" spans="1:17" ht="18" x14ac:dyDescent="0.35">
      <c r="A30" s="9" t="s">
        <v>236</v>
      </c>
      <c r="B30" s="134"/>
      <c r="C30" s="134"/>
      <c r="D30" s="8"/>
      <c r="K30" s="70" t="s">
        <v>226</v>
      </c>
      <c r="L30" s="185">
        <f>D17</f>
        <v>3.0219009183150005</v>
      </c>
      <c r="M30" s="45" t="s">
        <v>121</v>
      </c>
      <c r="O30" s="83"/>
      <c r="P30" s="83"/>
      <c r="Q30" s="83"/>
    </row>
    <row r="31" spans="1:17" ht="17.25" x14ac:dyDescent="0.25">
      <c r="A31" s="5" t="s">
        <v>232</v>
      </c>
      <c r="B31" s="6" t="s">
        <v>33</v>
      </c>
      <c r="C31" s="211" t="s">
        <v>282</v>
      </c>
      <c r="D31" s="7"/>
      <c r="K31" s="70" t="s">
        <v>151</v>
      </c>
      <c r="L31" s="143">
        <v>1.8919E-4</v>
      </c>
      <c r="M31" s="45" t="s">
        <v>150</v>
      </c>
      <c r="O31" s="83"/>
      <c r="P31" s="83"/>
      <c r="Q31" s="83"/>
    </row>
    <row r="32" spans="1:17" x14ac:dyDescent="0.25">
      <c r="A32" s="10" t="s">
        <v>233</v>
      </c>
      <c r="B32" s="11" t="s">
        <v>33</v>
      </c>
      <c r="C32" s="210" t="s">
        <v>282</v>
      </c>
      <c r="D32" s="12"/>
      <c r="K32" s="67" t="s">
        <v>206</v>
      </c>
      <c r="L32" s="144">
        <f>(L29*L30)/L31</f>
        <v>3279750.4163030502</v>
      </c>
      <c r="M32" s="69" t="s">
        <v>133</v>
      </c>
      <c r="O32" s="83"/>
      <c r="P32" s="83"/>
      <c r="Q32" s="83"/>
    </row>
    <row r="33" spans="11:17" x14ac:dyDescent="0.25">
      <c r="K33" s="151" t="s">
        <v>228</v>
      </c>
      <c r="L33" s="152">
        <f>L32</f>
        <v>3279750.4163030502</v>
      </c>
      <c r="M33" s="71"/>
      <c r="O33" s="83"/>
      <c r="P33" s="83"/>
      <c r="Q33" s="83"/>
    </row>
    <row r="34" spans="11:17" x14ac:dyDescent="0.25">
      <c r="O34" s="83"/>
      <c r="P34" s="83"/>
      <c r="Q34" s="83"/>
    </row>
    <row r="35" spans="11:17" x14ac:dyDescent="0.25">
      <c r="O35" s="83"/>
      <c r="P35" s="83"/>
      <c r="Q35" s="83"/>
    </row>
    <row r="36" spans="11:17" x14ac:dyDescent="0.25">
      <c r="O36" s="83"/>
      <c r="P36" s="83"/>
      <c r="Q36" s="83"/>
    </row>
    <row r="37" spans="11:17" x14ac:dyDescent="0.25">
      <c r="O37" s="83"/>
      <c r="P37" s="83"/>
      <c r="Q37" s="83"/>
    </row>
  </sheetData>
  <mergeCells count="45">
    <mergeCell ref="O37:Q37"/>
    <mergeCell ref="K12:L12"/>
    <mergeCell ref="A20:D20"/>
    <mergeCell ref="F20:H20"/>
    <mergeCell ref="K20:M20"/>
    <mergeCell ref="K28:M28"/>
    <mergeCell ref="O31:Q31"/>
    <mergeCell ref="O32:Q32"/>
    <mergeCell ref="O33:Q33"/>
    <mergeCell ref="O34:Q34"/>
    <mergeCell ref="O35:Q35"/>
    <mergeCell ref="O36:Q36"/>
    <mergeCell ref="O25:Q25"/>
    <mergeCell ref="O26:Q26"/>
    <mergeCell ref="O27:Q27"/>
    <mergeCell ref="O28:Q28"/>
    <mergeCell ref="O29:Q29"/>
    <mergeCell ref="O30:Q30"/>
    <mergeCell ref="O19:Q19"/>
    <mergeCell ref="O20:Q20"/>
    <mergeCell ref="O21:Q21"/>
    <mergeCell ref="O22:Q22"/>
    <mergeCell ref="O23:Q23"/>
    <mergeCell ref="O24:Q24"/>
    <mergeCell ref="O13:Q13"/>
    <mergeCell ref="O14:Q14"/>
    <mergeCell ref="O15:Q15"/>
    <mergeCell ref="O16:Q16"/>
    <mergeCell ref="O17:Q17"/>
    <mergeCell ref="O18:Q18"/>
    <mergeCell ref="O7:Q7"/>
    <mergeCell ref="O8:Q8"/>
    <mergeCell ref="O9:Q9"/>
    <mergeCell ref="O10:Q10"/>
    <mergeCell ref="O11:Q11"/>
    <mergeCell ref="O12:Q12"/>
    <mergeCell ref="A1:D1"/>
    <mergeCell ref="F12:H12"/>
    <mergeCell ref="A12:D12"/>
    <mergeCell ref="N1:Q1"/>
    <mergeCell ref="O2:Q2"/>
    <mergeCell ref="O3:Q3"/>
    <mergeCell ref="O4:Q4"/>
    <mergeCell ref="O5:Q5"/>
    <mergeCell ref="O6:Q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BC5B-7530-404C-B84B-D8707FAB53B5}">
  <dimension ref="A1:AH57"/>
  <sheetViews>
    <sheetView workbookViewId="0">
      <selection activeCell="K15" sqref="K15"/>
    </sheetView>
  </sheetViews>
  <sheetFormatPr defaultRowHeight="15" x14ac:dyDescent="0.25"/>
  <cols>
    <col min="1" max="1" width="9.42578125" bestFit="1" customWidth="1"/>
    <col min="2" max="2" width="9.140625" style="2"/>
    <col min="4" max="4" width="9.42578125" customWidth="1"/>
    <col min="8" max="8" width="10" customWidth="1"/>
    <col min="9" max="9" width="18.28515625" customWidth="1"/>
    <col min="10" max="10" width="9.140625" style="2"/>
    <col min="15" max="15" width="9.140625" style="155"/>
    <col min="17" max="17" width="9.140625" customWidth="1"/>
    <col min="18" max="18" width="9.140625" style="2"/>
  </cols>
  <sheetData>
    <row r="1" spans="1:34" x14ac:dyDescent="0.25">
      <c r="A1" s="99" t="s">
        <v>152</v>
      </c>
      <c r="B1" s="100"/>
      <c r="C1" s="101"/>
      <c r="AA1" s="29"/>
    </row>
    <row r="2" spans="1:34" x14ac:dyDescent="0.25">
      <c r="AA2" s="29"/>
    </row>
    <row r="3" spans="1:34" ht="15.75" thickBot="1" x14ac:dyDescent="0.3">
      <c r="A3" s="4" t="s">
        <v>153</v>
      </c>
      <c r="H3" s="155"/>
    </row>
    <row r="4" spans="1:34" s="2" customFormat="1" ht="18" customHeight="1" x14ac:dyDescent="0.25">
      <c r="A4" s="77" t="s">
        <v>154</v>
      </c>
      <c r="B4" s="68"/>
      <c r="C4" s="66" t="s">
        <v>155</v>
      </c>
      <c r="D4" s="66" t="s">
        <v>10</v>
      </c>
      <c r="E4" s="68"/>
      <c r="F4" s="68" t="s">
        <v>156</v>
      </c>
      <c r="G4" s="80" t="s">
        <v>157</v>
      </c>
      <c r="H4" s="158"/>
      <c r="I4" s="177"/>
      <c r="J4" s="141"/>
      <c r="K4" s="178"/>
      <c r="L4" s="178"/>
      <c r="M4" s="141"/>
      <c r="N4" s="141"/>
      <c r="O4" s="158"/>
      <c r="Q4" s="113" t="s">
        <v>158</v>
      </c>
      <c r="R4" s="114"/>
      <c r="S4" s="115"/>
      <c r="AB4" s="106" t="s">
        <v>159</v>
      </c>
      <c r="AC4" s="106"/>
      <c r="AD4" s="106"/>
      <c r="AE4" s="106"/>
    </row>
    <row r="5" spans="1:34" ht="18" x14ac:dyDescent="0.35">
      <c r="A5" s="9" t="s">
        <v>160</v>
      </c>
      <c r="B5" s="56" t="s">
        <v>161</v>
      </c>
      <c r="C5" s="53">
        <v>26</v>
      </c>
      <c r="D5" s="136">
        <f>C5/R7</f>
        <v>5.8243597124558413</v>
      </c>
      <c r="E5" s="52" t="s">
        <v>162</v>
      </c>
      <c r="F5" s="203">
        <f>C7*(C6+C5)/2</f>
        <v>1180</v>
      </c>
      <c r="G5" s="150">
        <f>D7*(D6+D5)/2</f>
        <v>57.013024146099234</v>
      </c>
      <c r="H5" s="155"/>
      <c r="I5" s="179"/>
      <c r="J5" s="141"/>
      <c r="K5" s="161"/>
      <c r="L5" s="161"/>
      <c r="M5" s="161"/>
      <c r="N5" s="161"/>
      <c r="Q5" s="116"/>
      <c r="R5" s="117"/>
      <c r="S5" s="118"/>
      <c r="AB5" s="121" t="s">
        <v>163</v>
      </c>
      <c r="AC5" s="122"/>
      <c r="AD5" s="43"/>
      <c r="AE5" s="27" t="s">
        <v>155</v>
      </c>
      <c r="AF5" s="27" t="s">
        <v>10</v>
      </c>
      <c r="AG5" s="30"/>
      <c r="AH5" s="44"/>
    </row>
    <row r="6" spans="1:34" x14ac:dyDescent="0.25">
      <c r="A6" s="9" t="s">
        <v>164</v>
      </c>
      <c r="B6" s="56" t="s">
        <v>165</v>
      </c>
      <c r="C6" s="53">
        <v>14</v>
      </c>
      <c r="D6" s="136">
        <f>C6/R7</f>
        <v>3.1361936913223762</v>
      </c>
      <c r="E6" s="162"/>
      <c r="F6" s="161"/>
      <c r="G6" s="170"/>
      <c r="H6" s="155"/>
      <c r="I6" s="179"/>
      <c r="J6" s="141"/>
      <c r="K6" s="161"/>
      <c r="L6" s="161"/>
      <c r="M6" s="161"/>
      <c r="N6" s="161"/>
      <c r="Q6" s="111" t="s">
        <v>167</v>
      </c>
      <c r="R6" s="88"/>
      <c r="S6" s="112"/>
      <c r="AB6" s="97" t="s">
        <v>168</v>
      </c>
      <c r="AC6" s="98"/>
      <c r="AD6" s="55" t="s">
        <v>169</v>
      </c>
      <c r="AE6" s="53"/>
      <c r="AF6" s="53"/>
      <c r="AG6" s="6" t="s">
        <v>170</v>
      </c>
      <c r="AH6" s="53"/>
    </row>
    <row r="7" spans="1:34" x14ac:dyDescent="0.25">
      <c r="A7" s="9" t="s">
        <v>171</v>
      </c>
      <c r="B7" s="133" t="s">
        <v>172</v>
      </c>
      <c r="C7" s="53">
        <v>59</v>
      </c>
      <c r="D7" s="136">
        <f>C7/R10</f>
        <v>12.725335495921422</v>
      </c>
      <c r="E7" s="162"/>
      <c r="F7" s="161"/>
      <c r="G7" s="170"/>
      <c r="H7" s="155"/>
      <c r="I7" s="161"/>
      <c r="J7" s="141"/>
      <c r="K7" s="161"/>
      <c r="L7" s="161"/>
      <c r="M7" s="161"/>
      <c r="N7" s="161"/>
      <c r="Q7" s="102" t="s">
        <v>173</v>
      </c>
      <c r="R7" s="104">
        <v>4.46401</v>
      </c>
      <c r="S7" s="108"/>
      <c r="AB7" s="39"/>
      <c r="AC7" s="31"/>
      <c r="AD7" s="57" t="s">
        <v>174</v>
      </c>
      <c r="AE7" s="53"/>
      <c r="AF7" s="53"/>
      <c r="AG7" s="11" t="s">
        <v>175</v>
      </c>
      <c r="AH7" s="53"/>
    </row>
    <row r="8" spans="1:34" x14ac:dyDescent="0.25">
      <c r="A8" s="10"/>
      <c r="B8" s="196" t="s">
        <v>176</v>
      </c>
      <c r="C8" s="146">
        <v>4</v>
      </c>
      <c r="D8" s="147">
        <f>C8/R7</f>
        <v>0.89605534037782175</v>
      </c>
      <c r="E8" s="11"/>
      <c r="F8" s="11"/>
      <c r="G8" s="12"/>
      <c r="H8" s="155"/>
      <c r="I8" s="179"/>
      <c r="J8" s="141"/>
      <c r="K8" s="161"/>
      <c r="L8" s="161"/>
      <c r="M8" s="161"/>
      <c r="N8" s="161"/>
      <c r="Q8" s="103"/>
      <c r="R8" s="105"/>
      <c r="S8" s="120"/>
      <c r="AB8" s="40"/>
      <c r="AC8" s="29"/>
      <c r="AD8" s="41"/>
      <c r="AE8" s="29"/>
      <c r="AF8" s="29"/>
      <c r="AG8" s="29"/>
      <c r="AH8" s="34"/>
    </row>
    <row r="9" spans="1:34" x14ac:dyDescent="0.25">
      <c r="H9" s="155"/>
      <c r="I9" s="179"/>
      <c r="J9" s="141"/>
      <c r="K9" s="161"/>
      <c r="L9" s="161"/>
      <c r="M9" s="161"/>
      <c r="N9" s="161"/>
      <c r="Q9" s="111" t="s">
        <v>177</v>
      </c>
      <c r="R9" s="88"/>
      <c r="S9" s="112"/>
      <c r="AB9" s="119" t="s">
        <v>178</v>
      </c>
      <c r="AC9" s="89"/>
      <c r="AD9" s="55" t="s">
        <v>169</v>
      </c>
      <c r="AE9" s="53"/>
      <c r="AF9" s="53"/>
      <c r="AG9" s="6" t="s">
        <v>162</v>
      </c>
      <c r="AH9" s="53"/>
    </row>
    <row r="10" spans="1:34" x14ac:dyDescent="0.25">
      <c r="H10" s="155"/>
      <c r="I10" s="161"/>
      <c r="J10" s="141"/>
      <c r="K10" s="161"/>
      <c r="L10" s="161"/>
      <c r="M10" s="161"/>
      <c r="N10" s="161"/>
      <c r="Q10" s="102" t="s">
        <v>173</v>
      </c>
      <c r="R10" s="104">
        <v>4.6364200000000002</v>
      </c>
      <c r="S10" s="108"/>
      <c r="AB10" s="39"/>
      <c r="AC10" s="31"/>
      <c r="AD10" s="57" t="s">
        <v>174</v>
      </c>
      <c r="AE10" s="53"/>
      <c r="AF10" s="53"/>
      <c r="AG10" s="11" t="s">
        <v>175</v>
      </c>
      <c r="AH10" s="53"/>
    </row>
    <row r="11" spans="1:34" ht="15.75" thickBot="1" x14ac:dyDescent="0.3">
      <c r="A11" s="148" t="s">
        <v>229</v>
      </c>
      <c r="B11" s="148"/>
      <c r="H11" s="155"/>
      <c r="I11" s="179"/>
      <c r="J11" s="141"/>
      <c r="K11" s="161"/>
      <c r="L11" s="161"/>
      <c r="M11" s="161"/>
      <c r="N11" s="161"/>
      <c r="Q11" s="107"/>
      <c r="R11" s="109"/>
      <c r="S11" s="110"/>
      <c r="AB11" s="40"/>
      <c r="AC11" s="29"/>
      <c r="AD11" s="41"/>
      <c r="AE11" s="29"/>
      <c r="AF11" s="29"/>
      <c r="AG11" s="29"/>
      <c r="AH11" s="34"/>
    </row>
    <row r="12" spans="1:34" ht="18" x14ac:dyDescent="0.35">
      <c r="A12" s="63" t="s">
        <v>179</v>
      </c>
      <c r="B12" s="68"/>
      <c r="C12" s="66" t="s">
        <v>155</v>
      </c>
      <c r="D12" s="66" t="s">
        <v>10</v>
      </c>
      <c r="E12" s="6"/>
      <c r="F12" s="68" t="s">
        <v>156</v>
      </c>
      <c r="G12" s="80" t="s">
        <v>157</v>
      </c>
      <c r="H12" s="155"/>
      <c r="I12" s="179"/>
      <c r="J12" s="141"/>
      <c r="K12" s="161"/>
      <c r="L12" s="161"/>
      <c r="M12" s="161"/>
      <c r="N12" s="161"/>
      <c r="AB12" s="95" t="s">
        <v>182</v>
      </c>
      <c r="AC12" s="96"/>
      <c r="AD12" s="41"/>
      <c r="AE12" s="29"/>
      <c r="AF12" s="29"/>
      <c r="AG12" s="29"/>
      <c r="AH12" s="34"/>
    </row>
    <row r="13" spans="1:34" x14ac:dyDescent="0.25">
      <c r="A13" s="5"/>
      <c r="B13" s="55" t="s">
        <v>180</v>
      </c>
      <c r="C13" s="53">
        <v>8</v>
      </c>
      <c r="D13" s="136">
        <f>C13/R10</f>
        <v>1.7254692197859556</v>
      </c>
      <c r="E13" s="32" t="s">
        <v>162</v>
      </c>
      <c r="F13" s="202">
        <f>(R19*C13*C14)/4</f>
        <v>37.699111842000001</v>
      </c>
      <c r="G13" s="150">
        <f>(R19*D13*D14)/4</f>
        <v>1.8214748929952895</v>
      </c>
      <c r="H13" s="155"/>
      <c r="I13" s="161"/>
      <c r="J13" s="141"/>
      <c r="K13" s="161"/>
      <c r="L13" s="161"/>
      <c r="M13" s="161"/>
      <c r="N13" s="161"/>
      <c r="AB13" s="38"/>
      <c r="AC13" s="30"/>
      <c r="AD13" s="55" t="s">
        <v>184</v>
      </c>
      <c r="AE13" s="53"/>
      <c r="AF13" s="53"/>
      <c r="AG13" s="6" t="s">
        <v>162</v>
      </c>
      <c r="AH13" s="53"/>
    </row>
    <row r="14" spans="1:34" x14ac:dyDescent="0.25">
      <c r="A14" s="9"/>
      <c r="B14" s="56" t="s">
        <v>181</v>
      </c>
      <c r="C14" s="53">
        <v>6</v>
      </c>
      <c r="D14" s="136">
        <f>C14/R7</f>
        <v>1.3440830105667325</v>
      </c>
      <c r="E14" s="161"/>
      <c r="F14" s="161"/>
      <c r="G14" s="170"/>
      <c r="H14" s="155"/>
      <c r="I14" s="179"/>
      <c r="J14" s="141"/>
      <c r="K14" s="161"/>
      <c r="L14" s="161"/>
      <c r="M14" s="161"/>
      <c r="N14" s="161"/>
      <c r="AB14" s="39"/>
      <c r="AC14" s="31"/>
      <c r="AD14" s="57" t="s">
        <v>169</v>
      </c>
      <c r="AE14" s="53"/>
      <c r="AF14" s="53"/>
      <c r="AG14" s="31"/>
      <c r="AH14" s="33"/>
    </row>
    <row r="15" spans="1:34" ht="18" x14ac:dyDescent="0.35">
      <c r="A15" s="64" t="s">
        <v>183</v>
      </c>
      <c r="B15" s="74"/>
      <c r="C15" s="11"/>
      <c r="D15" s="11"/>
      <c r="E15" s="161"/>
      <c r="F15" s="161"/>
      <c r="G15" s="170"/>
      <c r="H15" s="155"/>
      <c r="I15" s="179"/>
      <c r="J15" s="141"/>
      <c r="K15" s="161"/>
      <c r="L15" s="161"/>
      <c r="M15" s="161"/>
      <c r="N15" s="161"/>
      <c r="AB15" s="40"/>
      <c r="AC15" s="29"/>
      <c r="AD15" s="41"/>
      <c r="AE15" s="29"/>
      <c r="AF15" s="29"/>
      <c r="AG15" s="29"/>
      <c r="AH15" s="34"/>
    </row>
    <row r="16" spans="1:34" x14ac:dyDescent="0.25">
      <c r="A16" s="5"/>
      <c r="B16" s="55" t="s">
        <v>180</v>
      </c>
      <c r="C16" s="53">
        <v>8</v>
      </c>
      <c r="D16" s="136">
        <f>C16/R10</f>
        <v>1.7254692197859556</v>
      </c>
      <c r="E16" s="32" t="s">
        <v>162</v>
      </c>
      <c r="F16" s="203">
        <f>(R19*C16*C17)/4</f>
        <v>56.548667762999997</v>
      </c>
      <c r="G16" s="194">
        <f>(R19*D16*D17)/4</f>
        <v>2.7322123394929347</v>
      </c>
      <c r="H16" s="155"/>
      <c r="I16" s="161"/>
      <c r="J16" s="141"/>
      <c r="K16" s="161"/>
      <c r="L16" s="161"/>
      <c r="M16" s="161"/>
      <c r="N16" s="161"/>
      <c r="AB16" s="95" t="s">
        <v>185</v>
      </c>
      <c r="AC16" s="96"/>
      <c r="AD16" s="41"/>
      <c r="AE16" s="29"/>
      <c r="AF16" s="29"/>
      <c r="AG16" s="29"/>
      <c r="AH16" s="34"/>
    </row>
    <row r="17" spans="1:34" x14ac:dyDescent="0.25">
      <c r="A17" s="9"/>
      <c r="B17" s="56" t="s">
        <v>181</v>
      </c>
      <c r="C17" s="53">
        <v>9</v>
      </c>
      <c r="D17" s="136">
        <f>C17/R7</f>
        <v>2.0161245158500991</v>
      </c>
      <c r="E17" s="161"/>
      <c r="F17" s="161"/>
      <c r="G17" s="170"/>
      <c r="H17" s="155"/>
      <c r="I17" s="179"/>
      <c r="J17" s="141"/>
      <c r="K17" s="161"/>
      <c r="L17" s="161"/>
      <c r="M17" s="161"/>
      <c r="N17" s="161"/>
      <c r="AB17" s="38"/>
      <c r="AC17" s="30"/>
      <c r="AD17" s="55" t="s">
        <v>184</v>
      </c>
      <c r="AE17" s="53"/>
      <c r="AF17" s="53"/>
      <c r="AG17" s="6" t="s">
        <v>162</v>
      </c>
      <c r="AH17" s="53"/>
    </row>
    <row r="18" spans="1:34" x14ac:dyDescent="0.25">
      <c r="A18" s="157"/>
      <c r="B18" s="74"/>
      <c r="C18" s="11"/>
      <c r="D18" s="11"/>
      <c r="E18" s="171"/>
      <c r="F18" s="171"/>
      <c r="G18" s="160"/>
      <c r="H18" s="155"/>
      <c r="I18" s="179"/>
      <c r="J18" s="141"/>
      <c r="K18" s="161"/>
      <c r="L18" s="161"/>
      <c r="M18" s="161"/>
      <c r="N18" s="161"/>
      <c r="AB18" s="39"/>
      <c r="AC18" s="31"/>
      <c r="AD18" s="57" t="s">
        <v>169</v>
      </c>
      <c r="AE18" s="53"/>
      <c r="AF18" s="53"/>
      <c r="AG18" s="31"/>
      <c r="AH18" s="33"/>
    </row>
    <row r="19" spans="1:34" x14ac:dyDescent="0.25">
      <c r="H19" s="155"/>
      <c r="I19" s="161"/>
      <c r="J19" s="141"/>
      <c r="K19" s="161"/>
      <c r="L19" s="161"/>
      <c r="M19" s="161"/>
      <c r="N19" s="161"/>
      <c r="Q19" t="s">
        <v>231</v>
      </c>
      <c r="R19" s="71">
        <v>3.1415926535000001</v>
      </c>
      <c r="AB19" s="40"/>
      <c r="AC19" s="29"/>
      <c r="AD19" s="41"/>
      <c r="AE19" s="29"/>
      <c r="AF19" s="29"/>
      <c r="AG19" s="29"/>
      <c r="AH19" s="34"/>
    </row>
    <row r="20" spans="1:34" x14ac:dyDescent="0.25">
      <c r="A20" s="195" t="s">
        <v>230</v>
      </c>
      <c r="B20" s="195"/>
      <c r="C20" s="195"/>
      <c r="H20" s="155"/>
      <c r="I20" s="179"/>
      <c r="J20" s="141"/>
      <c r="K20" s="161"/>
      <c r="L20" s="161"/>
      <c r="M20" s="161"/>
      <c r="N20" s="161"/>
      <c r="AB20" s="95" t="s">
        <v>188</v>
      </c>
      <c r="AC20" s="96"/>
      <c r="AD20" s="41"/>
      <c r="AE20" s="29"/>
      <c r="AF20" s="29"/>
      <c r="AG20" s="29"/>
      <c r="AH20" s="34"/>
    </row>
    <row r="21" spans="1:34" ht="18" x14ac:dyDescent="0.35">
      <c r="A21" s="63" t="s">
        <v>187</v>
      </c>
      <c r="B21" s="68"/>
      <c r="C21" s="66" t="s">
        <v>155</v>
      </c>
      <c r="D21" s="66" t="s">
        <v>10</v>
      </c>
      <c r="E21" s="6"/>
      <c r="F21" s="68" t="s">
        <v>156</v>
      </c>
      <c r="G21" s="80" t="s">
        <v>157</v>
      </c>
      <c r="H21" s="155"/>
      <c r="I21" s="179"/>
      <c r="J21" s="141"/>
      <c r="K21" s="161"/>
      <c r="L21" s="161"/>
      <c r="M21" s="161"/>
      <c r="N21" s="161"/>
      <c r="AB21" s="38"/>
      <c r="AC21" s="30"/>
      <c r="AD21" s="55" t="s">
        <v>189</v>
      </c>
      <c r="AE21" s="53"/>
      <c r="AF21" s="53"/>
      <c r="AG21" s="6" t="s">
        <v>162</v>
      </c>
      <c r="AH21" s="53"/>
    </row>
    <row r="22" spans="1:34" ht="18" x14ac:dyDescent="0.35">
      <c r="A22" s="9"/>
      <c r="B22" s="56" t="s">
        <v>161</v>
      </c>
      <c r="C22" s="53">
        <v>14</v>
      </c>
      <c r="D22" s="136">
        <f>C22/R7</f>
        <v>3.1361936913223762</v>
      </c>
      <c r="E22" s="32" t="s">
        <v>162</v>
      </c>
      <c r="F22" s="202">
        <f>C24*(C23+C22)/2</f>
        <v>247.25</v>
      </c>
      <c r="G22" s="150">
        <f>D24*(D23+D22)/2</f>
        <v>11.946161203494098</v>
      </c>
      <c r="H22" s="165"/>
      <c r="I22" s="156" t="s">
        <v>259</v>
      </c>
      <c r="J22" s="72">
        <f>D23/D22</f>
        <v>0.5357142857142857</v>
      </c>
      <c r="K22" s="197"/>
      <c r="L22" s="161"/>
      <c r="M22" s="161"/>
      <c r="N22" s="161"/>
      <c r="AB22" s="40"/>
      <c r="AC22" s="29"/>
      <c r="AD22" s="56" t="s">
        <v>190</v>
      </c>
      <c r="AE22" s="53"/>
      <c r="AF22" s="53"/>
      <c r="AG22" s="29"/>
      <c r="AH22" s="34"/>
    </row>
    <row r="23" spans="1:34" x14ac:dyDescent="0.25">
      <c r="A23" s="9"/>
      <c r="B23" s="56" t="s">
        <v>165</v>
      </c>
      <c r="C23" s="53">
        <v>7.5</v>
      </c>
      <c r="D23" s="136">
        <f>C23/R7</f>
        <v>1.6801037632084157</v>
      </c>
      <c r="E23" s="161"/>
      <c r="F23" s="161"/>
      <c r="G23" s="170"/>
      <c r="H23" s="155"/>
      <c r="I23" s="198" t="s">
        <v>225</v>
      </c>
      <c r="J23" s="72">
        <f>(2/3)*'Top Front View'!D22*((1+'Top Front View'!J22+('Top Front View'!J22^2))/(1+'Top Front View'!J22))</f>
        <v>2.4815175996122236</v>
      </c>
      <c r="K23" s="199" t="s">
        <v>121</v>
      </c>
      <c r="L23" s="161"/>
      <c r="M23" s="161"/>
      <c r="N23" s="161"/>
      <c r="AB23" s="39"/>
      <c r="AC23" s="31"/>
      <c r="AD23" s="57" t="s">
        <v>166</v>
      </c>
      <c r="AE23" s="53"/>
      <c r="AF23" s="53"/>
      <c r="AG23" s="31"/>
      <c r="AH23" s="33"/>
    </row>
    <row r="24" spans="1:34" x14ac:dyDescent="0.25">
      <c r="A24" s="10"/>
      <c r="B24" s="57" t="s">
        <v>172</v>
      </c>
      <c r="C24" s="53">
        <v>23</v>
      </c>
      <c r="D24" s="136">
        <f>C24/R10</f>
        <v>4.9607240068846217</v>
      </c>
      <c r="E24" s="161"/>
      <c r="F24" s="161"/>
      <c r="G24" s="170"/>
      <c r="H24" s="155"/>
      <c r="I24" s="179"/>
      <c r="J24" s="141"/>
      <c r="K24" s="161"/>
      <c r="L24" s="161"/>
      <c r="M24" s="161"/>
      <c r="N24" s="161"/>
    </row>
    <row r="25" spans="1:34" ht="18" x14ac:dyDescent="0.35">
      <c r="A25" s="63" t="s">
        <v>191</v>
      </c>
      <c r="B25" s="68" t="s">
        <v>176</v>
      </c>
      <c r="C25" s="138"/>
      <c r="D25" s="53"/>
      <c r="E25" s="134"/>
      <c r="F25" s="134"/>
      <c r="G25" s="8"/>
      <c r="H25" s="155"/>
      <c r="I25" s="179"/>
      <c r="J25" s="141"/>
      <c r="K25" s="161"/>
      <c r="L25" s="161"/>
      <c r="M25" s="161"/>
      <c r="N25" s="161"/>
    </row>
    <row r="26" spans="1:34" x14ac:dyDescent="0.25">
      <c r="A26" s="9"/>
      <c r="B26" s="56" t="s">
        <v>180</v>
      </c>
      <c r="C26" s="53">
        <v>3</v>
      </c>
      <c r="D26" s="136">
        <f>C26/R10</f>
        <v>0.64705095741973329</v>
      </c>
      <c r="E26" s="32" t="s">
        <v>162</v>
      </c>
      <c r="F26" s="202">
        <f>(R19*C26*C27)/4</f>
        <v>8.2466807154375008</v>
      </c>
      <c r="G26" s="150">
        <f>(R19*D26*D27)/4</f>
        <v>0.39844763284271961</v>
      </c>
      <c r="H26" s="155"/>
      <c r="I26" s="161"/>
      <c r="J26" s="141"/>
      <c r="K26" s="161"/>
      <c r="L26" s="161"/>
      <c r="M26" s="161"/>
      <c r="N26" s="161"/>
    </row>
    <row r="27" spans="1:34" x14ac:dyDescent="0.25">
      <c r="A27" s="9"/>
      <c r="B27" s="56" t="s">
        <v>181</v>
      </c>
      <c r="C27" s="53">
        <v>3.5</v>
      </c>
      <c r="D27" s="136">
        <f>C27/R7</f>
        <v>0.78404842283059406</v>
      </c>
      <c r="E27" s="161"/>
      <c r="F27" s="161"/>
      <c r="G27" s="170"/>
      <c r="H27" s="155"/>
      <c r="I27" s="179"/>
      <c r="J27" s="141"/>
      <c r="K27" s="161"/>
      <c r="L27" s="161"/>
      <c r="M27" s="161"/>
      <c r="N27" s="161"/>
    </row>
    <row r="28" spans="1:34" ht="18" x14ac:dyDescent="0.35">
      <c r="A28" s="64" t="s">
        <v>192</v>
      </c>
      <c r="B28" s="74"/>
      <c r="C28" s="11"/>
      <c r="D28" s="11"/>
      <c r="E28" s="161"/>
      <c r="F28" s="161"/>
      <c r="G28" s="170"/>
      <c r="H28" s="155"/>
      <c r="I28" s="179"/>
      <c r="J28" s="141"/>
      <c r="K28" s="161"/>
      <c r="L28" s="161"/>
      <c r="M28" s="161"/>
      <c r="N28" s="161"/>
    </row>
    <row r="29" spans="1:34" x14ac:dyDescent="0.25">
      <c r="A29" s="5"/>
      <c r="B29" s="55" t="s">
        <v>180</v>
      </c>
      <c r="C29" s="53">
        <v>3</v>
      </c>
      <c r="D29" s="136">
        <f>C29/R10</f>
        <v>0.64705095741973329</v>
      </c>
      <c r="E29" s="32" t="s">
        <v>162</v>
      </c>
      <c r="F29" s="203">
        <f>(R19*C29*C30)/4</f>
        <v>10.6028752055625</v>
      </c>
      <c r="G29" s="194">
        <f>(R19*D29*D30)/4</f>
        <v>0.51228981365492521</v>
      </c>
      <c r="H29" s="155"/>
      <c r="I29" s="161"/>
      <c r="J29" s="141"/>
      <c r="K29" s="161"/>
      <c r="L29" s="161"/>
      <c r="M29" s="161"/>
      <c r="N29" s="161"/>
      <c r="T29" t="s">
        <v>102</v>
      </c>
      <c r="U29" s="3"/>
    </row>
    <row r="30" spans="1:34" x14ac:dyDescent="0.25">
      <c r="A30" s="9"/>
      <c r="B30" s="56" t="s">
        <v>181</v>
      </c>
      <c r="C30" s="53">
        <v>4.5</v>
      </c>
      <c r="D30" s="53">
        <f>C30/R7</f>
        <v>1.0080622579250496</v>
      </c>
      <c r="E30" s="134"/>
      <c r="F30" s="161"/>
      <c r="G30" s="170"/>
      <c r="H30" s="155"/>
      <c r="I30" s="179"/>
      <c r="J30" s="141"/>
      <c r="K30" s="161"/>
      <c r="L30" s="161"/>
      <c r="M30" s="161"/>
      <c r="N30" s="161"/>
    </row>
    <row r="31" spans="1:34" x14ac:dyDescent="0.25">
      <c r="A31" s="157"/>
      <c r="B31" s="74"/>
      <c r="C31" s="11"/>
      <c r="D31" s="11"/>
      <c r="E31" s="11"/>
      <c r="F31" s="171"/>
      <c r="G31" s="160"/>
      <c r="H31" s="155"/>
      <c r="I31" s="179"/>
      <c r="J31" s="141"/>
      <c r="K31" s="161"/>
      <c r="L31" s="161"/>
      <c r="M31" s="161"/>
      <c r="N31" s="161"/>
    </row>
    <row r="32" spans="1:34" x14ac:dyDescent="0.25">
      <c r="H32" s="155"/>
      <c r="I32" s="161"/>
      <c r="J32" s="141"/>
      <c r="K32" s="161"/>
      <c r="L32" s="161"/>
      <c r="M32" s="161"/>
      <c r="N32" s="161"/>
    </row>
    <row r="33" spans="1:14" x14ac:dyDescent="0.25">
      <c r="A33" s="169"/>
      <c r="B33" s="169"/>
      <c r="C33" s="169"/>
      <c r="D33" s="169"/>
      <c r="E33" s="169"/>
      <c r="F33" s="169"/>
      <c r="G33" s="169"/>
      <c r="H33" s="155"/>
      <c r="I33" s="179"/>
      <c r="J33" s="141"/>
      <c r="K33" s="161"/>
      <c r="L33" s="161"/>
      <c r="M33" s="161"/>
      <c r="N33" s="161"/>
    </row>
    <row r="34" spans="1:14" x14ac:dyDescent="0.25">
      <c r="A34" s="169"/>
      <c r="B34" s="169"/>
      <c r="C34" s="169"/>
      <c r="D34" s="169"/>
      <c r="E34" s="169"/>
      <c r="F34" s="169"/>
      <c r="G34" s="169"/>
      <c r="H34" s="155"/>
      <c r="I34" s="179"/>
      <c r="J34" s="141"/>
      <c r="K34" s="161"/>
      <c r="L34" s="161"/>
      <c r="M34" s="161"/>
      <c r="N34" s="161"/>
    </row>
    <row r="35" spans="1:14" x14ac:dyDescent="0.25">
      <c r="A35" s="169"/>
      <c r="B35" s="169"/>
      <c r="C35" s="169"/>
      <c r="D35" s="169"/>
      <c r="E35" s="169"/>
      <c r="F35" s="169"/>
      <c r="G35" s="169"/>
      <c r="H35" s="155"/>
    </row>
    <row r="36" spans="1:14" x14ac:dyDescent="0.25">
      <c r="A36" s="169"/>
      <c r="B36" s="169"/>
      <c r="C36" s="169"/>
      <c r="D36" s="169"/>
      <c r="E36" s="169"/>
      <c r="F36" s="169"/>
      <c r="G36" s="169"/>
      <c r="H36" s="155"/>
    </row>
    <row r="37" spans="1:14" x14ac:dyDescent="0.25">
      <c r="A37" s="169"/>
      <c r="B37" s="169"/>
      <c r="C37" s="169"/>
      <c r="D37" s="169"/>
      <c r="E37" s="169"/>
      <c r="F37" s="169"/>
      <c r="G37" s="169"/>
      <c r="H37" s="155"/>
    </row>
    <row r="38" spans="1:14" x14ac:dyDescent="0.25">
      <c r="A38" s="169"/>
      <c r="B38" s="169"/>
      <c r="C38" s="169"/>
      <c r="D38" s="169"/>
      <c r="E38" s="169"/>
      <c r="F38" s="169"/>
      <c r="G38" s="169"/>
      <c r="H38" s="155"/>
    </row>
    <row r="39" spans="1:14" x14ac:dyDescent="0.25">
      <c r="A39" s="169"/>
      <c r="B39" s="169"/>
      <c r="C39" s="169"/>
      <c r="D39" s="169"/>
      <c r="E39" s="169"/>
      <c r="F39" s="169"/>
      <c r="G39" s="169"/>
      <c r="H39" s="155"/>
    </row>
    <row r="40" spans="1:14" x14ac:dyDescent="0.25">
      <c r="H40" s="155"/>
    </row>
    <row r="41" spans="1:14" x14ac:dyDescent="0.25">
      <c r="H41" s="155"/>
    </row>
    <row r="42" spans="1:14" x14ac:dyDescent="0.25">
      <c r="H42" s="155"/>
    </row>
    <row r="43" spans="1:14" x14ac:dyDescent="0.25">
      <c r="H43" s="155"/>
    </row>
    <row r="44" spans="1:14" x14ac:dyDescent="0.25">
      <c r="H44" s="155"/>
    </row>
    <row r="45" spans="1:14" x14ac:dyDescent="0.25">
      <c r="H45" s="155"/>
    </row>
    <row r="46" spans="1:14" x14ac:dyDescent="0.25">
      <c r="H46" s="155"/>
    </row>
    <row r="47" spans="1:14" x14ac:dyDescent="0.25">
      <c r="H47" s="155"/>
    </row>
    <row r="48" spans="1:14" x14ac:dyDescent="0.25">
      <c r="H48" s="155"/>
    </row>
    <row r="49" spans="8:8" x14ac:dyDescent="0.25">
      <c r="H49" s="155"/>
    </row>
    <row r="50" spans="8:8" x14ac:dyDescent="0.25">
      <c r="H50" s="155"/>
    </row>
    <row r="51" spans="8:8" x14ac:dyDescent="0.25">
      <c r="H51" s="155"/>
    </row>
    <row r="52" spans="8:8" x14ac:dyDescent="0.25">
      <c r="H52" s="155"/>
    </row>
    <row r="53" spans="8:8" x14ac:dyDescent="0.25">
      <c r="H53" s="155"/>
    </row>
    <row r="54" spans="8:8" x14ac:dyDescent="0.25">
      <c r="H54" s="155"/>
    </row>
    <row r="55" spans="8:8" x14ac:dyDescent="0.25">
      <c r="H55" s="155"/>
    </row>
    <row r="56" spans="8:8" x14ac:dyDescent="0.25">
      <c r="H56" s="155"/>
    </row>
    <row r="57" spans="8:8" x14ac:dyDescent="0.25">
      <c r="H57" s="155"/>
    </row>
  </sheetData>
  <mergeCells count="17">
    <mergeCell ref="AB4:AE4"/>
    <mergeCell ref="Q10:Q11"/>
    <mergeCell ref="R10:S11"/>
    <mergeCell ref="Q6:S6"/>
    <mergeCell ref="Q9:S9"/>
    <mergeCell ref="Q4:S5"/>
    <mergeCell ref="AB9:AC9"/>
    <mergeCell ref="R7:S8"/>
    <mergeCell ref="AB5:AC5"/>
    <mergeCell ref="A1:C1"/>
    <mergeCell ref="Q7:Q8"/>
    <mergeCell ref="A11:B11"/>
    <mergeCell ref="A20:C20"/>
    <mergeCell ref="AB12:AC12"/>
    <mergeCell ref="AB16:AC16"/>
    <mergeCell ref="AB20:AC20"/>
    <mergeCell ref="AB6:AC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2828-7DA2-48BA-9BB9-5B8AEF01E67B}">
  <dimension ref="A1:V33"/>
  <sheetViews>
    <sheetView workbookViewId="0">
      <selection activeCell="O12" sqref="O12"/>
    </sheetView>
  </sheetViews>
  <sheetFormatPr defaultRowHeight="15" x14ac:dyDescent="0.25"/>
  <cols>
    <col min="1" max="1" width="10.85546875" bestFit="1" customWidth="1"/>
    <col min="8" max="8" width="10.7109375" customWidth="1"/>
    <col min="15" max="15" width="10.42578125" customWidth="1"/>
  </cols>
  <sheetData>
    <row r="1" spans="1:22" s="4" customFormat="1" x14ac:dyDescent="0.25">
      <c r="A1" s="99" t="s">
        <v>197</v>
      </c>
      <c r="B1" s="100"/>
      <c r="C1" s="101"/>
      <c r="D1" s="99" t="s">
        <v>198</v>
      </c>
      <c r="E1" s="100"/>
      <c r="F1" s="101"/>
      <c r="G1" s="99" t="s">
        <v>199</v>
      </c>
      <c r="H1" s="100"/>
      <c r="I1" s="101"/>
      <c r="J1" s="99" t="s">
        <v>200</v>
      </c>
      <c r="K1" s="100"/>
      <c r="L1" s="101"/>
      <c r="M1" s="99" t="s">
        <v>201</v>
      </c>
      <c r="N1" s="100"/>
      <c r="O1" s="101"/>
      <c r="P1" s="99" t="s">
        <v>202</v>
      </c>
      <c r="Q1" s="100"/>
      <c r="R1" s="101"/>
      <c r="T1" s="113" t="s">
        <v>158</v>
      </c>
      <c r="U1" s="114"/>
      <c r="V1" s="115"/>
    </row>
    <row r="2" spans="1:22" x14ac:dyDescent="0.25">
      <c r="A2" s="42"/>
      <c r="B2" s="2" t="s">
        <v>155</v>
      </c>
      <c r="C2" s="45" t="s">
        <v>10</v>
      </c>
      <c r="D2" s="42"/>
      <c r="E2" s="2" t="s">
        <v>155</v>
      </c>
      <c r="F2" s="45" t="s">
        <v>10</v>
      </c>
      <c r="G2" s="42"/>
      <c r="H2" s="2" t="s">
        <v>113</v>
      </c>
      <c r="I2" s="45" t="s">
        <v>10</v>
      </c>
      <c r="J2" s="42"/>
      <c r="K2" s="2" t="s">
        <v>155</v>
      </c>
      <c r="L2" s="45" t="s">
        <v>10</v>
      </c>
      <c r="M2" s="42"/>
      <c r="N2" s="2" t="s">
        <v>155</v>
      </c>
      <c r="O2" s="45" t="s">
        <v>10</v>
      </c>
      <c r="P2" s="42"/>
      <c r="Q2" s="2" t="s">
        <v>155</v>
      </c>
      <c r="R2" s="45" t="s">
        <v>10</v>
      </c>
      <c r="T2" s="116"/>
      <c r="U2" s="220"/>
      <c r="V2" s="118"/>
    </row>
    <row r="3" spans="1:22" x14ac:dyDescent="0.25">
      <c r="A3" s="42" t="s">
        <v>203</v>
      </c>
      <c r="B3" s="54">
        <v>10</v>
      </c>
      <c r="C3" s="65">
        <f>B3/U13</f>
        <v>1.3517777777777777</v>
      </c>
      <c r="D3" s="2" t="s">
        <v>203</v>
      </c>
      <c r="E3" s="54">
        <v>13</v>
      </c>
      <c r="F3" s="65">
        <f>E3/U13</f>
        <v>1.757311111111111</v>
      </c>
      <c r="G3" s="2" t="s">
        <v>203</v>
      </c>
      <c r="H3" s="54">
        <v>21</v>
      </c>
      <c r="I3" s="65">
        <f>H3/U13</f>
        <v>2.8387333333333333</v>
      </c>
      <c r="J3" s="2" t="s">
        <v>203</v>
      </c>
      <c r="K3" s="54">
        <v>17</v>
      </c>
      <c r="L3" s="65">
        <f>K3/U13</f>
        <v>2.298022222222222</v>
      </c>
      <c r="M3" s="2" t="s">
        <v>203</v>
      </c>
      <c r="N3" s="54">
        <v>12.5</v>
      </c>
      <c r="O3" s="65">
        <f>N3/U13</f>
        <v>1.6897222222222221</v>
      </c>
      <c r="P3" s="2" t="s">
        <v>203</v>
      </c>
      <c r="Q3" s="54">
        <v>9</v>
      </c>
      <c r="R3" s="65">
        <f>Q3/U13</f>
        <v>1.2165999999999999</v>
      </c>
      <c r="T3" s="111" t="s">
        <v>167</v>
      </c>
      <c r="U3" s="89"/>
      <c r="V3" s="164"/>
    </row>
    <row r="4" spans="1:22" x14ac:dyDescent="0.25">
      <c r="A4" s="36" t="s">
        <v>171</v>
      </c>
      <c r="B4" s="54">
        <v>7.5</v>
      </c>
      <c r="C4" s="65">
        <f>B4/D9</f>
        <v>1.588235294117647</v>
      </c>
      <c r="D4" s="18" t="s">
        <v>171</v>
      </c>
      <c r="E4" s="54">
        <v>9</v>
      </c>
      <c r="F4" s="65">
        <f>E4/D9</f>
        <v>1.9058823529411764</v>
      </c>
      <c r="G4" s="18" t="s">
        <v>171</v>
      </c>
      <c r="H4" s="54">
        <v>9.5</v>
      </c>
      <c r="I4" s="65">
        <f>H4/D9</f>
        <v>2.0117647058823529</v>
      </c>
      <c r="J4" s="18" t="s">
        <v>171</v>
      </c>
      <c r="K4" s="54">
        <v>7</v>
      </c>
      <c r="L4" s="65">
        <f>K4/D9</f>
        <v>1.4823529411764707</v>
      </c>
      <c r="M4" s="18" t="s">
        <v>171</v>
      </c>
      <c r="N4" s="54">
        <v>4.5</v>
      </c>
      <c r="O4" s="65">
        <f>N4/D9</f>
        <v>0.95294117647058818</v>
      </c>
      <c r="P4" s="18" t="s">
        <v>171</v>
      </c>
      <c r="Q4" s="54">
        <v>2</v>
      </c>
      <c r="R4" s="65">
        <f>Q4/D9</f>
        <v>0.42352941176470588</v>
      </c>
      <c r="T4" s="213" t="s">
        <v>173</v>
      </c>
      <c r="U4" s="217">
        <v>4.46401</v>
      </c>
      <c r="V4" s="221"/>
    </row>
    <row r="5" spans="1:22" x14ac:dyDescent="0.25">
      <c r="T5" s="214"/>
      <c r="U5" s="217"/>
      <c r="V5" s="221"/>
    </row>
    <row r="6" spans="1:22" x14ac:dyDescent="0.25">
      <c r="A6" s="87" t="s">
        <v>204</v>
      </c>
      <c r="B6" s="88"/>
      <c r="C6" s="88"/>
      <c r="D6" s="89"/>
      <c r="E6" s="89"/>
      <c r="F6" s="90"/>
      <c r="T6" s="111" t="s">
        <v>177</v>
      </c>
      <c r="U6" s="168"/>
      <c r="V6" s="216"/>
    </row>
    <row r="7" spans="1:22" x14ac:dyDescent="0.25">
      <c r="A7" s="91" t="s">
        <v>112</v>
      </c>
      <c r="B7" s="83"/>
      <c r="C7" s="83"/>
      <c r="D7" s="92">
        <v>85</v>
      </c>
      <c r="E7" s="92"/>
      <c r="F7" s="45" t="s">
        <v>113</v>
      </c>
      <c r="T7" s="213" t="s">
        <v>173</v>
      </c>
      <c r="U7" s="217">
        <v>4.6364200000000002</v>
      </c>
      <c r="V7" s="221"/>
    </row>
    <row r="8" spans="1:22" ht="15.75" thickBot="1" x14ac:dyDescent="0.3">
      <c r="A8" s="91" t="s">
        <v>115</v>
      </c>
      <c r="B8" s="83"/>
      <c r="C8" s="83"/>
      <c r="D8" s="92">
        <v>18</v>
      </c>
      <c r="E8" s="92"/>
      <c r="F8" s="45" t="s">
        <v>10</v>
      </c>
      <c r="T8" s="215"/>
      <c r="U8" s="217"/>
      <c r="V8" s="221"/>
    </row>
    <row r="9" spans="1:22" x14ac:dyDescent="0.25">
      <c r="A9" s="84" t="s">
        <v>117</v>
      </c>
      <c r="B9" s="85"/>
      <c r="C9" s="85"/>
      <c r="D9" s="86">
        <f>D7/D8</f>
        <v>4.7222222222222223</v>
      </c>
      <c r="E9" s="86"/>
      <c r="F9" s="37" t="s">
        <v>118</v>
      </c>
      <c r="T9" s="111" t="s">
        <v>247</v>
      </c>
      <c r="U9" s="168"/>
      <c r="V9" s="216"/>
    </row>
    <row r="10" spans="1:22" x14ac:dyDescent="0.25">
      <c r="T10" s="213" t="s">
        <v>173</v>
      </c>
      <c r="U10" s="218">
        <v>4.7222222222222223</v>
      </c>
      <c r="V10" s="222"/>
    </row>
    <row r="11" spans="1:22" ht="15.75" thickBot="1" x14ac:dyDescent="0.3">
      <c r="T11" s="215"/>
      <c r="U11" s="218"/>
      <c r="V11" s="222"/>
    </row>
    <row r="12" spans="1:22" x14ac:dyDescent="0.25">
      <c r="A12" s="99" t="s">
        <v>194</v>
      </c>
      <c r="B12" s="100"/>
      <c r="C12" s="101"/>
      <c r="D12" s="123" t="s">
        <v>253</v>
      </c>
      <c r="E12" s="212">
        <v>6.0830000000000002</v>
      </c>
      <c r="F12" s="212"/>
      <c r="G12" s="175" t="s">
        <v>10</v>
      </c>
      <c r="H12" s="212">
        <v>45</v>
      </c>
      <c r="I12" s="175" t="s">
        <v>155</v>
      </c>
      <c r="T12" s="111" t="s">
        <v>254</v>
      </c>
      <c r="U12" s="168"/>
      <c r="V12" s="216"/>
    </row>
    <row r="13" spans="1:22" x14ac:dyDescent="0.25">
      <c r="B13" s="2"/>
      <c r="D13" s="124"/>
      <c r="E13" s="212"/>
      <c r="F13" s="212"/>
      <c r="G13" s="175"/>
      <c r="H13" s="212"/>
      <c r="I13" s="175"/>
      <c r="T13" s="213" t="s">
        <v>173</v>
      </c>
      <c r="U13" s="218">
        <f>H12/E12</f>
        <v>7.397665625513727</v>
      </c>
      <c r="V13" s="222"/>
    </row>
    <row r="14" spans="1:22" ht="15.75" thickBot="1" x14ac:dyDescent="0.3">
      <c r="A14" s="4" t="s">
        <v>153</v>
      </c>
      <c r="B14" s="2"/>
      <c r="T14" s="215"/>
      <c r="U14" s="223"/>
      <c r="V14" s="224"/>
    </row>
    <row r="15" spans="1:22" ht="18" x14ac:dyDescent="0.35">
      <c r="A15" s="200" t="s">
        <v>195</v>
      </c>
      <c r="B15" s="68"/>
      <c r="C15" s="27" t="s">
        <v>155</v>
      </c>
      <c r="D15" s="27" t="s">
        <v>10</v>
      </c>
      <c r="E15" s="6"/>
      <c r="F15" s="7"/>
      <c r="U15" t="s">
        <v>231</v>
      </c>
      <c r="V15" s="71">
        <v>3.1415926535000001</v>
      </c>
    </row>
    <row r="16" spans="1:22" ht="18" x14ac:dyDescent="0.35">
      <c r="A16" s="5"/>
      <c r="B16" s="55" t="s">
        <v>161</v>
      </c>
      <c r="C16" s="53">
        <v>19</v>
      </c>
      <c r="D16" s="136">
        <f>C16/U4</f>
        <v>4.2562628667946534</v>
      </c>
      <c r="E16" s="52" t="s">
        <v>162</v>
      </c>
      <c r="F16" s="219">
        <f>D18*(D17+D16)/2</f>
        <v>4.8223595178127088</v>
      </c>
      <c r="G16" s="20"/>
      <c r="H16" s="5" t="s">
        <v>224</v>
      </c>
      <c r="I16" s="53">
        <f>D17/D16</f>
        <v>0.28947368421052633</v>
      </c>
      <c r="L16" s="134"/>
    </row>
    <row r="17" spans="1:20" x14ac:dyDescent="0.25">
      <c r="A17" s="9"/>
      <c r="B17" s="56" t="s">
        <v>165</v>
      </c>
      <c r="C17" s="53">
        <v>5.5</v>
      </c>
      <c r="D17" s="136">
        <f>C17/U4</f>
        <v>1.2320760930195049</v>
      </c>
      <c r="E17" s="162"/>
      <c r="F17" s="170"/>
      <c r="H17" s="10" t="s">
        <v>225</v>
      </c>
      <c r="I17" s="53">
        <f>(2/3)*D16*((1+I16+(I16^2))/(1+I16))</f>
        <v>3.0219009183150005</v>
      </c>
    </row>
    <row r="18" spans="1:20" x14ac:dyDescent="0.25">
      <c r="A18" s="9"/>
      <c r="B18" s="133" t="s">
        <v>172</v>
      </c>
      <c r="C18" s="149">
        <v>13</v>
      </c>
      <c r="D18" s="174">
        <f>C18/U13</f>
        <v>1.757311111111111</v>
      </c>
      <c r="E18" s="162"/>
      <c r="F18" s="170"/>
    </row>
    <row r="19" spans="1:20" ht="18" x14ac:dyDescent="0.35">
      <c r="A19" s="173" t="s">
        <v>196</v>
      </c>
      <c r="B19" s="134"/>
      <c r="C19" s="134"/>
      <c r="D19" s="134"/>
      <c r="E19" s="137"/>
      <c r="F19" s="8"/>
    </row>
    <row r="20" spans="1:20" x14ac:dyDescent="0.25">
      <c r="A20" s="5"/>
      <c r="B20" s="55" t="s">
        <v>180</v>
      </c>
      <c r="C20" s="53">
        <v>7</v>
      </c>
      <c r="D20" s="136">
        <f>C20/U4</f>
        <v>1.5680968456611881</v>
      </c>
      <c r="E20" s="52" t="s">
        <v>162</v>
      </c>
      <c r="F20" s="219">
        <f>(V15*D21*D20)/4</f>
        <v>1.248617244535402</v>
      </c>
    </row>
    <row r="21" spans="1:20" x14ac:dyDescent="0.25">
      <c r="A21" s="10"/>
      <c r="B21" s="57" t="s">
        <v>181</v>
      </c>
      <c r="C21" s="147">
        <v>7.5</v>
      </c>
      <c r="D21" s="201">
        <f>C21/U13</f>
        <v>1.0138333333333334</v>
      </c>
      <c r="E21" s="159"/>
      <c r="F21" s="160"/>
    </row>
    <row r="22" spans="1:20" x14ac:dyDescent="0.25">
      <c r="A22" s="163"/>
      <c r="B22" s="138"/>
      <c r="E22" s="162"/>
      <c r="F22" s="161"/>
    </row>
    <row r="23" spans="1:20" x14ac:dyDescent="0.25">
      <c r="A23" s="161"/>
      <c r="B23" s="141"/>
      <c r="C23" s="161"/>
      <c r="D23" s="161"/>
      <c r="E23" s="162"/>
      <c r="F23" s="161"/>
    </row>
    <row r="24" spans="1:20" x14ac:dyDescent="0.25">
      <c r="A24" s="181" t="s">
        <v>252</v>
      </c>
      <c r="B24" s="182"/>
      <c r="C24" s="182"/>
      <c r="D24" s="182"/>
      <c r="E24" s="182"/>
      <c r="F24" s="183"/>
      <c r="H24" s="181" t="s">
        <v>256</v>
      </c>
      <c r="I24" s="182"/>
      <c r="J24" s="182"/>
      <c r="K24" s="182"/>
      <c r="L24" s="182"/>
      <c r="M24" s="183"/>
      <c r="O24" s="181" t="s">
        <v>257</v>
      </c>
      <c r="P24" s="182"/>
      <c r="Q24" s="182"/>
      <c r="R24" s="182"/>
      <c r="S24" s="182"/>
      <c r="T24" s="183"/>
    </row>
    <row r="25" spans="1:20" x14ac:dyDescent="0.25">
      <c r="A25" s="176" t="s">
        <v>232</v>
      </c>
      <c r="B25" s="141"/>
      <c r="C25" s="180" t="s">
        <v>155</v>
      </c>
      <c r="D25" s="180" t="s">
        <v>10</v>
      </c>
      <c r="E25" s="162"/>
      <c r="F25" s="170"/>
      <c r="H25" s="176" t="s">
        <v>232</v>
      </c>
      <c r="I25" s="141"/>
      <c r="J25" s="180" t="s">
        <v>155</v>
      </c>
      <c r="K25" s="180" t="s">
        <v>10</v>
      </c>
      <c r="L25" s="162"/>
      <c r="M25" s="170"/>
      <c r="O25" s="176" t="s">
        <v>232</v>
      </c>
      <c r="P25" s="141"/>
      <c r="Q25" s="180" t="s">
        <v>155</v>
      </c>
      <c r="R25" s="180" t="s">
        <v>10</v>
      </c>
      <c r="S25" s="162"/>
      <c r="T25" s="170"/>
    </row>
    <row r="26" spans="1:20" x14ac:dyDescent="0.25">
      <c r="A26" s="9"/>
      <c r="B26" s="76" t="s">
        <v>193</v>
      </c>
      <c r="C26" s="53">
        <v>6.5</v>
      </c>
      <c r="D26" s="136">
        <f>C26/U13</f>
        <v>0.87865555555555552</v>
      </c>
      <c r="E26" s="52" t="s">
        <v>250</v>
      </c>
      <c r="F26" s="132">
        <f>D26/D27</f>
        <v>0.15085873794444443</v>
      </c>
      <c r="H26" s="9"/>
      <c r="I26" s="76" t="s">
        <v>193</v>
      </c>
      <c r="J26" s="53">
        <v>2</v>
      </c>
      <c r="K26" s="53">
        <f>J26/U13</f>
        <v>0.27035555555555557</v>
      </c>
      <c r="L26" s="81" t="s">
        <v>250</v>
      </c>
      <c r="M26" s="53">
        <f>K26/K27</f>
        <v>8.6204993111111114E-2</v>
      </c>
      <c r="O26" s="9"/>
      <c r="P26" s="76" t="s">
        <v>193</v>
      </c>
      <c r="Q26" s="53">
        <v>1.5</v>
      </c>
      <c r="R26" s="53">
        <f>Q26/U7</f>
        <v>0.32352547870986664</v>
      </c>
      <c r="S26" s="81" t="s">
        <v>250</v>
      </c>
      <c r="T26" s="53">
        <f>R26/R27</f>
        <v>7.6011630116612203E-2</v>
      </c>
    </row>
    <row r="27" spans="1:20" x14ac:dyDescent="0.25">
      <c r="A27" s="9"/>
      <c r="B27" s="73" t="s">
        <v>184</v>
      </c>
      <c r="C27" s="53">
        <v>26</v>
      </c>
      <c r="D27" s="53">
        <f>C27/U4</f>
        <v>5.8243597124558413</v>
      </c>
      <c r="E27" s="78"/>
      <c r="F27" s="12"/>
      <c r="H27" s="9"/>
      <c r="I27" s="73" t="s">
        <v>184</v>
      </c>
      <c r="J27" s="53">
        <v>14</v>
      </c>
      <c r="K27" s="53">
        <f>J27/U4</f>
        <v>3.1361936913223762</v>
      </c>
      <c r="L27" s="78"/>
      <c r="M27" s="12"/>
      <c r="O27" s="9"/>
      <c r="P27" s="73" t="s">
        <v>184</v>
      </c>
      <c r="Q27" s="53">
        <v>19</v>
      </c>
      <c r="R27" s="53">
        <f>Q27/U4</f>
        <v>4.2562628667946534</v>
      </c>
      <c r="S27" s="78"/>
      <c r="T27" s="12"/>
    </row>
    <row r="28" spans="1:20" x14ac:dyDescent="0.25">
      <c r="A28" s="32" t="s">
        <v>233</v>
      </c>
      <c r="B28" s="138"/>
      <c r="C28" s="134"/>
      <c r="D28" s="134"/>
      <c r="E28" s="137"/>
      <c r="F28" s="8"/>
      <c r="H28" s="32" t="s">
        <v>233</v>
      </c>
      <c r="I28" s="138"/>
      <c r="J28" s="134"/>
      <c r="K28" s="134"/>
      <c r="L28" s="137"/>
      <c r="M28" s="8"/>
      <c r="O28" s="32" t="s">
        <v>233</v>
      </c>
      <c r="P28" s="138"/>
      <c r="Q28" s="134"/>
      <c r="R28" s="134"/>
      <c r="S28" s="137"/>
      <c r="T28" s="8"/>
    </row>
    <row r="29" spans="1:20" x14ac:dyDescent="0.25">
      <c r="A29" s="9"/>
      <c r="B29" s="76" t="s">
        <v>193</v>
      </c>
      <c r="C29" s="53">
        <v>2.5</v>
      </c>
      <c r="D29" s="136">
        <f>C29/U13</f>
        <v>0.33794444444444444</v>
      </c>
      <c r="E29" s="52" t="s">
        <v>251</v>
      </c>
      <c r="F29" s="132">
        <f>C29/C30</f>
        <v>0.16666666666666666</v>
      </c>
      <c r="H29" s="9"/>
      <c r="I29" s="76" t="s">
        <v>193</v>
      </c>
      <c r="J29" s="53">
        <v>1</v>
      </c>
      <c r="K29" s="53">
        <f>J29/U13</f>
        <v>0.13517777777777779</v>
      </c>
      <c r="L29" s="81" t="s">
        <v>251</v>
      </c>
      <c r="M29" s="53">
        <f>J29/J30</f>
        <v>0.13333333333333333</v>
      </c>
      <c r="O29" s="9"/>
      <c r="P29" s="76" t="s">
        <v>193</v>
      </c>
      <c r="Q29" s="53">
        <v>1</v>
      </c>
      <c r="R29" s="53">
        <f>Q29/U7</f>
        <v>0.21568365247324445</v>
      </c>
      <c r="S29" s="81" t="s">
        <v>251</v>
      </c>
      <c r="T29" s="53">
        <f>Q29/Q30</f>
        <v>0.18181818181818182</v>
      </c>
    </row>
    <row r="30" spans="1:20" x14ac:dyDescent="0.25">
      <c r="A30" s="157"/>
      <c r="B30" s="184" t="s">
        <v>184</v>
      </c>
      <c r="C30" s="53">
        <v>15</v>
      </c>
      <c r="D30" s="53">
        <f>C30/U4</f>
        <v>3.3602075264168314</v>
      </c>
      <c r="E30" s="159"/>
      <c r="F30" s="160"/>
      <c r="H30" s="157"/>
      <c r="I30" s="184" t="s">
        <v>184</v>
      </c>
      <c r="J30" s="53">
        <v>7.5</v>
      </c>
      <c r="K30" s="53">
        <f>J30/U4</f>
        <v>1.6801037632084157</v>
      </c>
      <c r="L30" s="159"/>
      <c r="M30" s="160"/>
      <c r="O30" s="157"/>
      <c r="P30" s="184" t="s">
        <v>184</v>
      </c>
      <c r="Q30" s="53">
        <v>5.5</v>
      </c>
      <c r="R30" s="53">
        <f>Q30/U4</f>
        <v>1.2320760930195049</v>
      </c>
      <c r="S30" s="159"/>
      <c r="T30" s="160"/>
    </row>
    <row r="31" spans="1:20" x14ac:dyDescent="0.25">
      <c r="A31" s="161"/>
      <c r="B31" s="141"/>
      <c r="C31" s="161"/>
      <c r="D31" s="161"/>
      <c r="E31" s="162"/>
      <c r="F31" s="161"/>
    </row>
    <row r="32" spans="1:20" x14ac:dyDescent="0.25">
      <c r="A32" s="161"/>
      <c r="B32" s="141"/>
      <c r="C32" s="161"/>
      <c r="D32" s="161"/>
      <c r="E32" s="162"/>
      <c r="F32" s="161"/>
    </row>
    <row r="33" spans="1:6" x14ac:dyDescent="0.25">
      <c r="A33" s="161"/>
      <c r="B33" s="161"/>
      <c r="C33" s="161"/>
      <c r="D33" s="161"/>
      <c r="E33" s="161"/>
      <c r="F33" s="161"/>
    </row>
  </sheetData>
  <mergeCells count="35">
    <mergeCell ref="H24:M24"/>
    <mergeCell ref="O24:T24"/>
    <mergeCell ref="T12:V12"/>
    <mergeCell ref="T13:T14"/>
    <mergeCell ref="U13:V14"/>
    <mergeCell ref="G12:G13"/>
    <mergeCell ref="H12:H13"/>
    <mergeCell ref="I12:I13"/>
    <mergeCell ref="T7:T8"/>
    <mergeCell ref="U7:V8"/>
    <mergeCell ref="T9:V9"/>
    <mergeCell ref="T10:T11"/>
    <mergeCell ref="U10:V11"/>
    <mergeCell ref="T1:V2"/>
    <mergeCell ref="T3:V3"/>
    <mergeCell ref="T4:T5"/>
    <mergeCell ref="U4:V5"/>
    <mergeCell ref="T6:V6"/>
    <mergeCell ref="A12:C12"/>
    <mergeCell ref="D12:D13"/>
    <mergeCell ref="E12:F13"/>
    <mergeCell ref="A24:F24"/>
    <mergeCell ref="A7:C7"/>
    <mergeCell ref="A8:C8"/>
    <mergeCell ref="A9:C9"/>
    <mergeCell ref="D7:E7"/>
    <mergeCell ref="D8:E8"/>
    <mergeCell ref="D9:E9"/>
    <mergeCell ref="M1:O1"/>
    <mergeCell ref="P1:R1"/>
    <mergeCell ref="A6:F6"/>
    <mergeCell ref="A1:C1"/>
    <mergeCell ref="D1:F1"/>
    <mergeCell ref="G1:I1"/>
    <mergeCell ref="J1:L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502900F1A0214B9E3BBFE0014C43FC" ma:contentTypeVersion="12" ma:contentTypeDescription="Create a new document." ma:contentTypeScope="" ma:versionID="791681a552f7d49f39630ace98bbf7d5">
  <xsd:schema xmlns:xsd="http://www.w3.org/2001/XMLSchema" xmlns:xs="http://www.w3.org/2001/XMLSchema" xmlns:p="http://schemas.microsoft.com/office/2006/metadata/properties" xmlns:ns3="4614be65-5c8d-47af-9b10-c7c52cadb4f1" xmlns:ns4="a9fa9462-d945-40d1-900f-8af904855483" targetNamespace="http://schemas.microsoft.com/office/2006/metadata/properties" ma:root="true" ma:fieldsID="99d9abcdb4b76307d7308b2ede36e486" ns3:_="" ns4:_="">
    <xsd:import namespace="4614be65-5c8d-47af-9b10-c7c52cadb4f1"/>
    <xsd:import namespace="a9fa9462-d945-40d1-900f-8af90485548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4be65-5c8d-47af-9b10-c7c52cadb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a9462-d945-40d1-900f-8af90485548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2BCBFC-DE7C-420A-9EAB-0A15DDD92759}">
  <ds:schemaRefs>
    <ds:schemaRef ds:uri="http://purl.org/dc/dcmitype/"/>
    <ds:schemaRef ds:uri="http://schemas.microsoft.com/office/2006/documentManagement/types"/>
    <ds:schemaRef ds:uri="http://purl.org/dc/elements/1.1/"/>
    <ds:schemaRef ds:uri="a9fa9462-d945-40d1-900f-8af904855483"/>
    <ds:schemaRef ds:uri="4614be65-5c8d-47af-9b10-c7c52cadb4f1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342089-18A2-4223-BFAE-1D5289CCC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4be65-5c8d-47af-9b10-c7c52cadb4f1"/>
    <ds:schemaRef ds:uri="a9fa9462-d945-40d1-900f-8af9048554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A1A1D9-A711-40B4-90C7-7AA2727AE4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 Fill Up</vt:lpstr>
      <vt:lpstr>Scale factors</vt:lpstr>
      <vt:lpstr>Standard Atmosphere</vt:lpstr>
      <vt:lpstr>Reynolds Number</vt:lpstr>
      <vt:lpstr>Top Front View</vt:lpstr>
      <vt:lpstr>Side View A-E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gayathri kola</dc:creator>
  <cp:keywords/>
  <dc:description/>
  <cp:lastModifiedBy>gayathri kola</cp:lastModifiedBy>
  <cp:revision/>
  <dcterms:created xsi:type="dcterms:W3CDTF">2022-09-11T17:06:23Z</dcterms:created>
  <dcterms:modified xsi:type="dcterms:W3CDTF">2022-09-19T03:20:15Z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0x0101004F502900F1A0214B9E3BBFE0014C43FC</vt:lpwstr>
  </property>
</Properties>
</file>