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80" windowHeight="8835" tabRatio="555" activeTab="2"/>
  </bookViews>
  <sheets>
    <sheet name="P_Speed" sheetId="2" r:id="rId1"/>
    <sheet name="F_Head" sheetId="3" r:id="rId2"/>
    <sheet name="F_Speed" sheetId="4" r:id="rId3"/>
    <sheet name="Kaplan_Head" sheetId="5" r:id="rId4"/>
  </sheets>
  <calcPr calcId="124519"/>
</workbook>
</file>

<file path=xl/calcChain.xml><?xml version="1.0" encoding="utf-8"?>
<calcChain xmlns="http://schemas.openxmlformats.org/spreadsheetml/2006/main">
  <c r="J9" i="4"/>
  <c r="K9" s="1"/>
  <c r="I9"/>
  <c r="F9"/>
  <c r="L9" s="1"/>
  <c r="M9" s="1"/>
  <c r="C9"/>
  <c r="I8"/>
  <c r="J8" s="1"/>
  <c r="K8" s="1"/>
  <c r="F8"/>
  <c r="L8" s="1"/>
  <c r="M8" s="1"/>
  <c r="C8"/>
  <c r="J7"/>
  <c r="K7" s="1"/>
  <c r="I7"/>
  <c r="F7"/>
  <c r="L7" s="1"/>
  <c r="M7" s="1"/>
  <c r="C7"/>
  <c r="I6"/>
  <c r="J6" s="1"/>
  <c r="K6" s="1"/>
  <c r="F6"/>
  <c r="L6" s="1"/>
  <c r="C6"/>
  <c r="J5"/>
  <c r="K5" s="1"/>
  <c r="I5"/>
  <c r="F5"/>
  <c r="L5" s="1"/>
  <c r="M5" s="1"/>
  <c r="C5"/>
  <c r="I4"/>
  <c r="J4" s="1"/>
  <c r="K4" s="1"/>
  <c r="F4"/>
  <c r="L4" s="1"/>
  <c r="M4" s="1"/>
  <c r="C4"/>
  <c r="J3"/>
  <c r="K3" s="1"/>
  <c r="I3"/>
  <c r="F3"/>
  <c r="L3" s="1"/>
  <c r="M3" s="1"/>
  <c r="C3"/>
  <c r="E16"/>
  <c r="G16"/>
  <c r="M16" s="1"/>
  <c r="J16"/>
  <c r="K16"/>
  <c r="L16" s="1"/>
  <c r="E17"/>
  <c r="G17"/>
  <c r="J17"/>
  <c r="K17"/>
  <c r="L17" s="1"/>
  <c r="M17"/>
  <c r="E18"/>
  <c r="G18"/>
  <c r="J18"/>
  <c r="K18"/>
  <c r="L18" s="1"/>
  <c r="M18"/>
  <c r="E19"/>
  <c r="G19"/>
  <c r="J19"/>
  <c r="K19"/>
  <c r="L19" s="1"/>
  <c r="M19"/>
  <c r="E20"/>
  <c r="G20"/>
  <c r="J20"/>
  <c r="K20"/>
  <c r="L20" s="1"/>
  <c r="M20"/>
  <c r="M6" l="1"/>
  <c r="J5" i="5" l="1"/>
  <c r="J6"/>
  <c r="J7"/>
  <c r="J4"/>
  <c r="I5"/>
  <c r="I6"/>
  <c r="I7"/>
  <c r="I4"/>
  <c r="H5"/>
  <c r="H6"/>
  <c r="H7"/>
  <c r="H4"/>
  <c r="E5"/>
  <c r="E6"/>
  <c r="E7"/>
  <c r="E4"/>
  <c r="D5"/>
  <c r="D6"/>
  <c r="D7"/>
  <c r="D4"/>
  <c r="I66" i="4"/>
  <c r="I67"/>
  <c r="I68"/>
  <c r="I69"/>
  <c r="I70"/>
  <c r="I71"/>
  <c r="I65"/>
  <c r="K71"/>
  <c r="L71" s="1"/>
  <c r="G71"/>
  <c r="M71" s="1"/>
  <c r="K70"/>
  <c r="L70" s="1"/>
  <c r="G70"/>
  <c r="M70" s="1"/>
  <c r="K69"/>
  <c r="L69" s="1"/>
  <c r="G69"/>
  <c r="M69" s="1"/>
  <c r="K68"/>
  <c r="L68" s="1"/>
  <c r="G68"/>
  <c r="M68" s="1"/>
  <c r="K67"/>
  <c r="L67" s="1"/>
  <c r="G67"/>
  <c r="M67" s="1"/>
  <c r="K66"/>
  <c r="L66" s="1"/>
  <c r="G66"/>
  <c r="M66" s="1"/>
  <c r="K65"/>
  <c r="L65" s="1"/>
  <c r="G65"/>
  <c r="M65" s="1"/>
  <c r="E46"/>
  <c r="E45"/>
  <c r="E44"/>
  <c r="E41"/>
  <c r="E42"/>
  <c r="E43"/>
  <c r="E40"/>
  <c r="J46"/>
  <c r="K46" s="1"/>
  <c r="G46"/>
  <c r="M46" s="1"/>
  <c r="J45"/>
  <c r="K45" s="1"/>
  <c r="L45" s="1"/>
  <c r="G45"/>
  <c r="M45" s="1"/>
  <c r="J44"/>
  <c r="K44" s="1"/>
  <c r="G44"/>
  <c r="M44" s="1"/>
  <c r="J43"/>
  <c r="K43" s="1"/>
  <c r="L43" s="1"/>
  <c r="G43"/>
  <c r="M43" s="1"/>
  <c r="J42"/>
  <c r="K42" s="1"/>
  <c r="G42"/>
  <c r="M42" s="1"/>
  <c r="J41"/>
  <c r="K41" s="1"/>
  <c r="G41"/>
  <c r="M41" s="1"/>
  <c r="J40"/>
  <c r="K40" s="1"/>
  <c r="G40"/>
  <c r="M40" s="1"/>
  <c r="E30"/>
  <c r="E31"/>
  <c r="E32"/>
  <c r="E33"/>
  <c r="E34"/>
  <c r="E35"/>
  <c r="E29"/>
  <c r="E21"/>
  <c r="E22"/>
  <c r="G21"/>
  <c r="M21" s="1"/>
  <c r="G22"/>
  <c r="J58"/>
  <c r="K58" s="1"/>
  <c r="G58"/>
  <c r="M58" s="1"/>
  <c r="J57"/>
  <c r="K57" s="1"/>
  <c r="G57"/>
  <c r="M57" s="1"/>
  <c r="J56"/>
  <c r="K56" s="1"/>
  <c r="G56"/>
  <c r="M56" s="1"/>
  <c r="J55"/>
  <c r="K55" s="1"/>
  <c r="G55"/>
  <c r="M55" s="1"/>
  <c r="J54"/>
  <c r="K54" s="1"/>
  <c r="G54"/>
  <c r="M54" s="1"/>
  <c r="J53"/>
  <c r="K53" s="1"/>
  <c r="L53" s="1"/>
  <c r="G53"/>
  <c r="M53" s="1"/>
  <c r="J52"/>
  <c r="K52" s="1"/>
  <c r="L52" s="1"/>
  <c r="G52"/>
  <c r="M52" s="1"/>
  <c r="J35"/>
  <c r="K35" s="1"/>
  <c r="G35"/>
  <c r="M35" s="1"/>
  <c r="J34"/>
  <c r="K34" s="1"/>
  <c r="G34"/>
  <c r="M34" s="1"/>
  <c r="J33"/>
  <c r="K33" s="1"/>
  <c r="L33" s="1"/>
  <c r="G33"/>
  <c r="M33" s="1"/>
  <c r="J32"/>
  <c r="K32" s="1"/>
  <c r="G32"/>
  <c r="M32" s="1"/>
  <c r="J31"/>
  <c r="K31" s="1"/>
  <c r="G31"/>
  <c r="M31" s="1"/>
  <c r="J30"/>
  <c r="K30" s="1"/>
  <c r="G30"/>
  <c r="M30" s="1"/>
  <c r="J29"/>
  <c r="K29" s="1"/>
  <c r="G29"/>
  <c r="M29" s="1"/>
  <c r="M22"/>
  <c r="J21"/>
  <c r="K21" s="1"/>
  <c r="L21" s="1"/>
  <c r="J22"/>
  <c r="K22" s="1"/>
  <c r="L22" s="1"/>
  <c r="D44" i="2"/>
  <c r="D45"/>
  <c r="D46"/>
  <c r="D47"/>
  <c r="D48"/>
  <c r="D49"/>
  <c r="D50"/>
  <c r="D43"/>
  <c r="D57"/>
  <c r="D58"/>
  <c r="D59"/>
  <c r="K59" s="1"/>
  <c r="D60"/>
  <c r="K60" s="1"/>
  <c r="D61"/>
  <c r="D62"/>
  <c r="D63"/>
  <c r="D56"/>
  <c r="K56" s="1"/>
  <c r="L59"/>
  <c r="L62"/>
  <c r="L45"/>
  <c r="L47"/>
  <c r="L31"/>
  <c r="L32"/>
  <c r="L33"/>
  <c r="L34"/>
  <c r="L35"/>
  <c r="L36"/>
  <c r="L37"/>
  <c r="L30"/>
  <c r="L18"/>
  <c r="L19"/>
  <c r="L20"/>
  <c r="L21"/>
  <c r="L22"/>
  <c r="L23"/>
  <c r="L24"/>
  <c r="L17"/>
  <c r="H61"/>
  <c r="H60"/>
  <c r="H59"/>
  <c r="H58"/>
  <c r="H57"/>
  <c r="H56"/>
  <c r="F63"/>
  <c r="L63" s="1"/>
  <c r="F62"/>
  <c r="J61"/>
  <c r="K61" s="1"/>
  <c r="F61"/>
  <c r="L61" s="1"/>
  <c r="J60"/>
  <c r="F60"/>
  <c r="L60" s="1"/>
  <c r="J59"/>
  <c r="F59"/>
  <c r="J58"/>
  <c r="F58"/>
  <c r="L58" s="1"/>
  <c r="J57"/>
  <c r="K57" s="1"/>
  <c r="F57"/>
  <c r="L57" s="1"/>
  <c r="J56"/>
  <c r="F56"/>
  <c r="L56" s="1"/>
  <c r="I50"/>
  <c r="J50" s="1"/>
  <c r="F50"/>
  <c r="L50" s="1"/>
  <c r="I49"/>
  <c r="J49" s="1"/>
  <c r="K49" s="1"/>
  <c r="F49"/>
  <c r="L49" s="1"/>
  <c r="I48"/>
  <c r="J48" s="1"/>
  <c r="F48"/>
  <c r="L48" s="1"/>
  <c r="I47"/>
  <c r="J47" s="1"/>
  <c r="K47" s="1"/>
  <c r="F47"/>
  <c r="I46"/>
  <c r="J46" s="1"/>
  <c r="F46"/>
  <c r="L46" s="1"/>
  <c r="J45"/>
  <c r="I45"/>
  <c r="F45"/>
  <c r="I44"/>
  <c r="J44" s="1"/>
  <c r="F44"/>
  <c r="L44" s="1"/>
  <c r="I43"/>
  <c r="J43" s="1"/>
  <c r="K43" s="1"/>
  <c r="F43"/>
  <c r="L43" s="1"/>
  <c r="K31"/>
  <c r="K32"/>
  <c r="K33"/>
  <c r="K34"/>
  <c r="K35"/>
  <c r="K36"/>
  <c r="K37"/>
  <c r="K30"/>
  <c r="K18"/>
  <c r="K19"/>
  <c r="K20"/>
  <c r="K21"/>
  <c r="K22"/>
  <c r="K23"/>
  <c r="K24"/>
  <c r="K17"/>
  <c r="J24"/>
  <c r="M24" s="1"/>
  <c r="I24"/>
  <c r="F24"/>
  <c r="I23"/>
  <c r="J23" s="1"/>
  <c r="F23"/>
  <c r="I22"/>
  <c r="J22" s="1"/>
  <c r="F22"/>
  <c r="J21"/>
  <c r="I21"/>
  <c r="F21"/>
  <c r="J20"/>
  <c r="I20"/>
  <c r="F20"/>
  <c r="J19"/>
  <c r="I19"/>
  <c r="F19"/>
  <c r="I18"/>
  <c r="J18" s="1"/>
  <c r="F18"/>
  <c r="I17"/>
  <c r="J17" s="1"/>
  <c r="F17"/>
  <c r="J31"/>
  <c r="J32"/>
  <c r="J33"/>
  <c r="J37"/>
  <c r="J5"/>
  <c r="K5" s="1"/>
  <c r="J6"/>
  <c r="K6" s="1"/>
  <c r="J7"/>
  <c r="K7" s="1"/>
  <c r="J10"/>
  <c r="D5"/>
  <c r="D6"/>
  <c r="D7"/>
  <c r="D8"/>
  <c r="D9"/>
  <c r="D10"/>
  <c r="D11"/>
  <c r="D4"/>
  <c r="I37"/>
  <c r="F37"/>
  <c r="I36"/>
  <c r="J36" s="1"/>
  <c r="F36"/>
  <c r="I35"/>
  <c r="J35" s="1"/>
  <c r="F35"/>
  <c r="I34"/>
  <c r="F34"/>
  <c r="I33"/>
  <c r="F33"/>
  <c r="I32"/>
  <c r="F32"/>
  <c r="I31"/>
  <c r="F31"/>
  <c r="I30"/>
  <c r="J30" s="1"/>
  <c r="F30"/>
  <c r="I11"/>
  <c r="J11" s="1"/>
  <c r="F11"/>
  <c r="L11" s="1"/>
  <c r="I10"/>
  <c r="F10"/>
  <c r="L10" s="1"/>
  <c r="I9"/>
  <c r="J9" s="1"/>
  <c r="K9" s="1"/>
  <c r="F9"/>
  <c r="L9" s="1"/>
  <c r="I8"/>
  <c r="J8" s="1"/>
  <c r="K8" s="1"/>
  <c r="F8"/>
  <c r="L8" s="1"/>
  <c r="L7"/>
  <c r="I7"/>
  <c r="F7"/>
  <c r="I6"/>
  <c r="F6"/>
  <c r="L6" s="1"/>
  <c r="I5"/>
  <c r="F5"/>
  <c r="L5" s="1"/>
  <c r="L4"/>
  <c r="I4"/>
  <c r="J4" s="1"/>
  <c r="K4" s="1"/>
  <c r="F4"/>
  <c r="G13" i="3"/>
  <c r="D13"/>
  <c r="G12"/>
  <c r="D12"/>
  <c r="G11"/>
  <c r="D11"/>
  <c r="G10"/>
  <c r="D10"/>
  <c r="G9"/>
  <c r="D9"/>
  <c r="G8"/>
  <c r="D8"/>
  <c r="G7"/>
  <c r="D7"/>
  <c r="G6"/>
  <c r="D6"/>
  <c r="N67" i="4" l="1"/>
  <c r="N70"/>
  <c r="N66"/>
  <c r="N68"/>
  <c r="N71"/>
  <c r="N69"/>
  <c r="N65"/>
  <c r="L40"/>
  <c r="L35"/>
  <c r="L46"/>
  <c r="N46" s="1"/>
  <c r="L41"/>
  <c r="N41" s="1"/>
  <c r="L42"/>
  <c r="N42" s="1"/>
  <c r="L44"/>
  <c r="N44" s="1"/>
  <c r="N45"/>
  <c r="N43"/>
  <c r="N40"/>
  <c r="L34"/>
  <c r="N34" s="1"/>
  <c r="L29"/>
  <c r="N29" s="1"/>
  <c r="N35"/>
  <c r="L32"/>
  <c r="N32" s="1"/>
  <c r="L31"/>
  <c r="N31" s="1"/>
  <c r="N33"/>
  <c r="L30"/>
  <c r="N30" s="1"/>
  <c r="N18"/>
  <c r="N17"/>
  <c r="N20"/>
  <c r="N52"/>
  <c r="L58"/>
  <c r="N58" s="1"/>
  <c r="L57"/>
  <c r="N57" s="1"/>
  <c r="L54"/>
  <c r="N54" s="1"/>
  <c r="N53"/>
  <c r="L56"/>
  <c r="N56" s="1"/>
  <c r="L55"/>
  <c r="N55" s="1"/>
  <c r="N16"/>
  <c r="N22"/>
  <c r="N19"/>
  <c r="N21"/>
  <c r="K46" i="2"/>
  <c r="M46" s="1"/>
  <c r="K50"/>
  <c r="M50" s="1"/>
  <c r="K45"/>
  <c r="M45" s="1"/>
  <c r="M43"/>
  <c r="M47"/>
  <c r="K44"/>
  <c r="M44" s="1"/>
  <c r="M49"/>
  <c r="K48"/>
  <c r="K58"/>
  <c r="M58" s="1"/>
  <c r="M60"/>
  <c r="M56"/>
  <c r="M59"/>
  <c r="M57"/>
  <c r="M61"/>
  <c r="M48"/>
  <c r="M23"/>
  <c r="M21"/>
  <c r="M20"/>
  <c r="M17"/>
  <c r="M25" s="1"/>
  <c r="M19"/>
  <c r="M22"/>
  <c r="M18"/>
  <c r="M35"/>
  <c r="J34"/>
  <c r="M34" s="1"/>
  <c r="M33"/>
  <c r="M30"/>
  <c r="M38" s="1"/>
  <c r="M37"/>
  <c r="K11"/>
  <c r="M11" s="1"/>
  <c r="K10"/>
  <c r="M10" s="1"/>
  <c r="M36"/>
  <c r="M32"/>
  <c r="M5"/>
  <c r="M7"/>
  <c r="M8"/>
  <c r="M4"/>
  <c r="M31"/>
  <c r="M9"/>
  <c r="M6"/>
  <c r="N72" i="4" l="1"/>
  <c r="N47"/>
  <c r="N36"/>
  <c r="N59"/>
  <c r="N23"/>
  <c r="M51" i="2"/>
  <c r="M12"/>
  <c r="I63"/>
  <c r="J63" s="1"/>
  <c r="K63" s="1"/>
  <c r="M63" s="1"/>
  <c r="I62"/>
  <c r="J62" s="1"/>
  <c r="K62" s="1"/>
  <c r="M62" s="1"/>
  <c r="M64" l="1"/>
</calcChain>
</file>

<file path=xl/sharedStrings.xml><?xml version="1.0" encoding="utf-8"?>
<sst xmlns="http://schemas.openxmlformats.org/spreadsheetml/2006/main" count="199" uniqueCount="60">
  <si>
    <t>SB reading</t>
  </si>
  <si>
    <t>Torque</t>
  </si>
  <si>
    <t>V-notch</t>
  </si>
  <si>
    <t>IR</t>
  </si>
  <si>
    <t>FR</t>
  </si>
  <si>
    <t>diff</t>
  </si>
  <si>
    <t>Qact</t>
  </si>
  <si>
    <t>Francis turbine</t>
  </si>
  <si>
    <t>Pelton Wheel for 400 rpm</t>
  </si>
  <si>
    <t>Speed</t>
  </si>
  <si>
    <t>Weights</t>
  </si>
  <si>
    <t>Supressed weir</t>
  </si>
  <si>
    <t>Constant Head=11.45m</t>
  </si>
  <si>
    <t>diff(cm)</t>
  </si>
  <si>
    <t>SB reading(Kg)</t>
  </si>
  <si>
    <t>wt on pan(Kg)</t>
  </si>
  <si>
    <t>Torque(Nm)</t>
  </si>
  <si>
    <t>Efficiency(%)</t>
  </si>
  <si>
    <t>Output Power(W)</t>
  </si>
  <si>
    <t>Input Power(W)</t>
  </si>
  <si>
    <t>total head(m)</t>
  </si>
  <si>
    <t>Pelton Wheel for 450 rpm</t>
  </si>
  <si>
    <t>Pelton Wheel for 500 rpm</t>
  </si>
  <si>
    <t>Pressure gauge Kg/cm2</t>
  </si>
  <si>
    <t>Avg efficiency=</t>
  </si>
  <si>
    <t>Qact( m3/sec)</t>
  </si>
  <si>
    <t>Delivery Head(m)</t>
  </si>
  <si>
    <t>Pelton Wheel for 550 rpm</t>
  </si>
  <si>
    <t>Pelton Wheel for 600 rpm</t>
  </si>
  <si>
    <t>Qact(m3/sec)</t>
  </si>
  <si>
    <t>Francis turbine Constant speed 1000 rpm</t>
  </si>
  <si>
    <t>Francis turbine Constant speed 950 rpm</t>
  </si>
  <si>
    <t>Francis turbine Constant speed 900 rpm</t>
  </si>
  <si>
    <t>Vaccum pressure(Kg/cm2)</t>
  </si>
  <si>
    <t>Francis turbine Constant speed 850 rpm</t>
  </si>
  <si>
    <t>Wt on pan(Kg)</t>
  </si>
  <si>
    <t>Francis turbine Constant speed 800 rpm</t>
  </si>
  <si>
    <t>Speed (rpm)</t>
  </si>
  <si>
    <t>Suppressed weir(cm)</t>
  </si>
  <si>
    <t>Diff</t>
  </si>
  <si>
    <t>Wt on pan</t>
  </si>
  <si>
    <t>Weights(Kg)</t>
  </si>
  <si>
    <t>Input power</t>
  </si>
  <si>
    <t>output power</t>
  </si>
  <si>
    <t>unit speed(rpm)</t>
  </si>
  <si>
    <t>unit Q(m3/sec)</t>
  </si>
  <si>
    <t>unit power(W)</t>
  </si>
  <si>
    <t>Efficiency</t>
  </si>
  <si>
    <t>Supply head</t>
  </si>
  <si>
    <t>Vacuum pressure</t>
  </si>
  <si>
    <t>Total head (m)</t>
  </si>
  <si>
    <t>Torque Nm</t>
  </si>
  <si>
    <t>Hook gauge</t>
  </si>
  <si>
    <t>Discharge</t>
  </si>
  <si>
    <t>Output power</t>
  </si>
  <si>
    <t>Wt. on pan</t>
  </si>
  <si>
    <t>spring</t>
  </si>
  <si>
    <t>I.R</t>
  </si>
  <si>
    <t>F.R</t>
  </si>
  <si>
    <t>h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</si>
</sst>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3" fillId="0" borderId="2" xfId="0" applyFont="1" applyBorder="1" applyAlignment="1"/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 applyAlignment="1"/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right"/>
    </xf>
    <xf numFmtId="0" fontId="4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0" fillId="0" borderId="6" xfId="0" applyFill="1" applyBorder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wrapText="1"/>
    </xf>
    <xf numFmtId="0" fontId="3" fillId="0" borderId="0" xfId="0" applyFont="1" applyBorder="1" applyAlignment="1">
      <alignment horizontal="right"/>
    </xf>
    <xf numFmtId="0" fontId="3" fillId="0" borderId="6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4"/>
  <sheetViews>
    <sheetView workbookViewId="0">
      <selection activeCell="P14" sqref="P14"/>
    </sheetView>
  </sheetViews>
  <sheetFormatPr defaultRowHeight="12.75"/>
  <cols>
    <col min="7" max="7" width="8.5703125" customWidth="1"/>
    <col min="22" max="22" width="18.42578125" customWidth="1"/>
  </cols>
  <sheetData>
    <row r="1" spans="1:21">
      <c r="M1" s="1"/>
      <c r="N1" s="1"/>
      <c r="O1" s="1"/>
      <c r="P1" s="1"/>
      <c r="Q1" s="7"/>
      <c r="R1" s="7"/>
      <c r="S1" s="7"/>
      <c r="T1" s="1"/>
      <c r="U1" s="1"/>
    </row>
    <row r="2" spans="1:21" ht="12.75" customHeight="1">
      <c r="A2" s="4"/>
      <c r="B2" s="10"/>
      <c r="C2" s="10" t="s">
        <v>8</v>
      </c>
      <c r="D2" s="11"/>
      <c r="E2" s="12"/>
      <c r="F2" s="4"/>
      <c r="G2" s="43" t="s">
        <v>2</v>
      </c>
      <c r="H2" s="43"/>
      <c r="I2" s="43"/>
      <c r="J2" s="3"/>
      <c r="K2" s="3"/>
      <c r="L2" s="3"/>
      <c r="M2" s="3"/>
      <c r="O2" s="1"/>
      <c r="P2" s="1"/>
      <c r="Q2" s="1"/>
      <c r="R2" s="7"/>
      <c r="S2" s="7"/>
      <c r="T2" s="1"/>
      <c r="U2" s="1"/>
    </row>
    <row r="3" spans="1:21" ht="38.25">
      <c r="A3" s="6" t="s">
        <v>23</v>
      </c>
      <c r="B3" s="6" t="s">
        <v>26</v>
      </c>
      <c r="C3" s="6" t="s">
        <v>15</v>
      </c>
      <c r="D3" s="6" t="s">
        <v>20</v>
      </c>
      <c r="E3" s="6" t="s">
        <v>14</v>
      </c>
      <c r="F3" s="6" t="s">
        <v>16</v>
      </c>
      <c r="G3" s="6" t="s">
        <v>3</v>
      </c>
      <c r="H3" s="6" t="s">
        <v>4</v>
      </c>
      <c r="I3" s="6" t="s">
        <v>13</v>
      </c>
      <c r="J3" s="6" t="s">
        <v>25</v>
      </c>
      <c r="K3" s="28" t="s">
        <v>19</v>
      </c>
      <c r="L3" s="28" t="s">
        <v>18</v>
      </c>
      <c r="M3" s="28" t="s">
        <v>17</v>
      </c>
      <c r="O3" s="1"/>
      <c r="P3" s="1"/>
      <c r="Q3" s="7"/>
      <c r="R3" s="7"/>
      <c r="S3" s="7"/>
      <c r="T3" s="1"/>
      <c r="U3" s="1"/>
    </row>
    <row r="4" spans="1:21">
      <c r="A4" s="3">
        <v>0.8</v>
      </c>
      <c r="B4" s="3">
        <v>8</v>
      </c>
      <c r="C4" s="5">
        <v>1.8</v>
      </c>
      <c r="D4" s="5">
        <f>(A4*10)+0.315</f>
        <v>8.3149999999999995</v>
      </c>
      <c r="E4" s="5">
        <v>0.2</v>
      </c>
      <c r="F4" s="5">
        <f>ROUND((C4-E4)*0.15*9.81,2)</f>
        <v>2.35</v>
      </c>
      <c r="G4" s="5">
        <v>0.5</v>
      </c>
      <c r="H4" s="5">
        <v>8.27</v>
      </c>
      <c r="I4" s="5">
        <f>(H4-G4)</f>
        <v>7.77</v>
      </c>
      <c r="J4" s="3">
        <f>ROUND((1.417*((I4*10^-2)^(5/2))),5)</f>
        <v>2.3800000000000002E-3</v>
      </c>
      <c r="K4" s="3">
        <f>ROUND((9.81*1000*J4*D4),4)</f>
        <v>194.137</v>
      </c>
      <c r="L4" s="3">
        <f>ROUND(((2*3.14*400*F4)/60),2)</f>
        <v>98.39</v>
      </c>
      <c r="M4" s="3">
        <f>ROUND((L4/K4)*100,2)</f>
        <v>50.68</v>
      </c>
      <c r="O4" s="1"/>
      <c r="P4" s="1"/>
      <c r="Q4" s="1"/>
      <c r="R4" s="7"/>
      <c r="S4" s="7"/>
      <c r="T4" s="1"/>
      <c r="U4" s="1"/>
    </row>
    <row r="5" spans="1:21">
      <c r="A5" s="3">
        <v>0.85</v>
      </c>
      <c r="B5" s="3">
        <v>8.5</v>
      </c>
      <c r="C5" s="3">
        <v>2.8</v>
      </c>
      <c r="D5" s="5">
        <f t="shared" ref="D5:D11" si="0">(A5*10)+0.315</f>
        <v>8.8149999999999995</v>
      </c>
      <c r="E5" s="3">
        <v>0.6</v>
      </c>
      <c r="F5" s="3">
        <f t="shared" ref="F5:F11" si="1">ROUND((C5-E5)*0.15*9.81,2)</f>
        <v>3.24</v>
      </c>
      <c r="G5" s="3">
        <v>0.5</v>
      </c>
      <c r="H5" s="3">
        <v>8.4600000000000009</v>
      </c>
      <c r="I5" s="4">
        <f t="shared" ref="I5:I11" si="2">(H5-G5)</f>
        <v>7.9600000000000009</v>
      </c>
      <c r="J5" s="3">
        <f t="shared" ref="J5:J11" si="3">ROUND((1.417*((I5*10^-2)^(5/2))),5)</f>
        <v>2.5300000000000001E-3</v>
      </c>
      <c r="K5" s="3">
        <f t="shared" ref="K5:K11" si="4">ROUND((9.81*1000*J5*D5),4)</f>
        <v>218.78210000000001</v>
      </c>
      <c r="L5" s="3">
        <f t="shared" ref="L5:L11" si="5">ROUND(((2*3.14*400*F5)/60),2)</f>
        <v>135.65</v>
      </c>
      <c r="M5" s="3">
        <f t="shared" ref="M5:M11" si="6">ROUND((L5/K5)*100,2)</f>
        <v>62</v>
      </c>
      <c r="O5" s="1"/>
      <c r="P5" s="1"/>
      <c r="Q5" s="7"/>
      <c r="R5" s="7"/>
      <c r="S5" s="7"/>
      <c r="T5" s="1"/>
      <c r="U5" s="1"/>
    </row>
    <row r="6" spans="1:21">
      <c r="A6" s="3">
        <v>0.9</v>
      </c>
      <c r="B6" s="3">
        <v>9</v>
      </c>
      <c r="C6" s="3">
        <v>3.8</v>
      </c>
      <c r="D6" s="5">
        <f t="shared" si="0"/>
        <v>9.3149999999999995</v>
      </c>
      <c r="E6" s="3">
        <v>1.3</v>
      </c>
      <c r="F6" s="3">
        <f t="shared" si="1"/>
        <v>3.68</v>
      </c>
      <c r="G6" s="4">
        <v>0.5</v>
      </c>
      <c r="H6" s="4">
        <v>8.6300000000000008</v>
      </c>
      <c r="I6" s="4">
        <f t="shared" si="2"/>
        <v>8.1300000000000008</v>
      </c>
      <c r="J6" s="3">
        <f t="shared" si="3"/>
        <v>2.6700000000000001E-3</v>
      </c>
      <c r="K6" s="3">
        <f t="shared" si="4"/>
        <v>243.98500000000001</v>
      </c>
      <c r="L6" s="3">
        <f t="shared" si="5"/>
        <v>154.07</v>
      </c>
      <c r="M6" s="3">
        <f t="shared" si="6"/>
        <v>63.15</v>
      </c>
      <c r="O6" s="1"/>
      <c r="P6" s="1"/>
      <c r="Q6" s="1"/>
      <c r="R6" s="7"/>
      <c r="S6" s="7"/>
      <c r="T6" s="1"/>
      <c r="U6" s="1"/>
    </row>
    <row r="7" spans="1:21">
      <c r="A7" s="3">
        <v>0.95</v>
      </c>
      <c r="B7" s="3">
        <v>9.5</v>
      </c>
      <c r="C7" s="3">
        <v>4.8</v>
      </c>
      <c r="D7" s="5">
        <f t="shared" si="0"/>
        <v>9.8149999999999995</v>
      </c>
      <c r="E7" s="3">
        <v>2</v>
      </c>
      <c r="F7" s="3">
        <f t="shared" si="1"/>
        <v>4.12</v>
      </c>
      <c r="G7" s="3">
        <v>0.5</v>
      </c>
      <c r="H7" s="4">
        <v>8.8699999999999992</v>
      </c>
      <c r="I7" s="4">
        <f t="shared" si="2"/>
        <v>8.3699999999999992</v>
      </c>
      <c r="J7" s="3">
        <f t="shared" si="3"/>
        <v>2.8700000000000002E-3</v>
      </c>
      <c r="K7" s="3">
        <f t="shared" si="4"/>
        <v>276.33839999999998</v>
      </c>
      <c r="L7" s="3">
        <f t="shared" si="5"/>
        <v>172.49</v>
      </c>
      <c r="M7" s="3">
        <f t="shared" si="6"/>
        <v>62.42</v>
      </c>
      <c r="O7" s="1"/>
      <c r="P7" s="1"/>
      <c r="Q7" s="7"/>
      <c r="R7" s="7"/>
      <c r="S7" s="7"/>
      <c r="T7" s="1"/>
      <c r="U7" s="1"/>
    </row>
    <row r="8" spans="1:21">
      <c r="A8" s="3">
        <v>1</v>
      </c>
      <c r="B8" s="3">
        <v>10</v>
      </c>
      <c r="C8" s="3">
        <v>5.8</v>
      </c>
      <c r="D8" s="5">
        <f t="shared" si="0"/>
        <v>10.315</v>
      </c>
      <c r="E8" s="3">
        <v>3</v>
      </c>
      <c r="F8" s="3">
        <f t="shared" si="1"/>
        <v>4.12</v>
      </c>
      <c r="G8" s="4">
        <v>0.5</v>
      </c>
      <c r="H8" s="4">
        <v>9.1300000000000008</v>
      </c>
      <c r="I8" s="4">
        <f t="shared" si="2"/>
        <v>8.6300000000000008</v>
      </c>
      <c r="J8" s="3">
        <f t="shared" si="3"/>
        <v>3.0999999999999999E-3</v>
      </c>
      <c r="K8" s="3">
        <f t="shared" si="4"/>
        <v>313.68950000000001</v>
      </c>
      <c r="L8" s="3">
        <f t="shared" si="5"/>
        <v>172.49</v>
      </c>
      <c r="M8" s="3">
        <f t="shared" si="6"/>
        <v>54.99</v>
      </c>
      <c r="N8" s="1"/>
      <c r="O8" s="1"/>
      <c r="P8" s="1"/>
      <c r="Q8" s="1"/>
      <c r="R8" s="1"/>
      <c r="S8" s="1"/>
      <c r="T8" s="1"/>
      <c r="U8" s="1"/>
    </row>
    <row r="9" spans="1:21">
      <c r="A9" s="3">
        <v>1.1000000000000001</v>
      </c>
      <c r="B9" s="3">
        <v>11</v>
      </c>
      <c r="C9" s="3">
        <v>6.8</v>
      </c>
      <c r="D9" s="5">
        <f t="shared" si="0"/>
        <v>11.315</v>
      </c>
      <c r="E9" s="3">
        <v>3.5</v>
      </c>
      <c r="F9" s="3">
        <f t="shared" si="1"/>
        <v>4.8600000000000003</v>
      </c>
      <c r="G9" s="4">
        <v>0.5</v>
      </c>
      <c r="H9" s="4">
        <v>9.5</v>
      </c>
      <c r="I9" s="4">
        <f t="shared" si="2"/>
        <v>9</v>
      </c>
      <c r="J9" s="3">
        <f t="shared" si="3"/>
        <v>3.4399999999999999E-3</v>
      </c>
      <c r="K9" s="3">
        <f t="shared" si="4"/>
        <v>381.84050000000002</v>
      </c>
      <c r="L9" s="3">
        <f t="shared" si="5"/>
        <v>203.47</v>
      </c>
      <c r="M9" s="3">
        <f t="shared" si="6"/>
        <v>53.29</v>
      </c>
      <c r="N9" s="1"/>
      <c r="O9" s="1"/>
      <c r="P9" s="1"/>
      <c r="Q9" s="1"/>
      <c r="R9" s="1"/>
      <c r="S9" s="1"/>
      <c r="T9" s="1"/>
      <c r="U9" s="1"/>
    </row>
    <row r="10" spans="1:21">
      <c r="A10" s="3">
        <v>1.2</v>
      </c>
      <c r="B10" s="3">
        <v>12</v>
      </c>
      <c r="C10" s="3">
        <v>7.8</v>
      </c>
      <c r="D10" s="5">
        <f t="shared" si="0"/>
        <v>12.315</v>
      </c>
      <c r="E10" s="3">
        <v>4</v>
      </c>
      <c r="F10" s="3">
        <f t="shared" si="1"/>
        <v>5.59</v>
      </c>
      <c r="G10" s="3">
        <v>0.5</v>
      </c>
      <c r="H10" s="4">
        <v>9.57</v>
      </c>
      <c r="I10" s="4">
        <f t="shared" si="2"/>
        <v>9.07</v>
      </c>
      <c r="J10" s="3">
        <f t="shared" si="3"/>
        <v>3.5100000000000001E-3</v>
      </c>
      <c r="K10" s="3">
        <f t="shared" si="4"/>
        <v>424.04360000000003</v>
      </c>
      <c r="L10" s="3">
        <f t="shared" si="5"/>
        <v>234.03</v>
      </c>
      <c r="M10" s="3">
        <f t="shared" si="6"/>
        <v>55.19</v>
      </c>
      <c r="N10" s="1"/>
    </row>
    <row r="11" spans="1:21">
      <c r="A11" s="3">
        <v>1.3</v>
      </c>
      <c r="B11" s="3">
        <v>13</v>
      </c>
      <c r="C11" s="3">
        <v>8.8000000000000007</v>
      </c>
      <c r="D11" s="5">
        <f t="shared" si="0"/>
        <v>13.315</v>
      </c>
      <c r="E11" s="3">
        <v>5</v>
      </c>
      <c r="F11" s="3">
        <f t="shared" si="1"/>
        <v>5.59</v>
      </c>
      <c r="G11" s="4">
        <v>0.5</v>
      </c>
      <c r="H11" s="4">
        <v>9.69</v>
      </c>
      <c r="I11" s="4">
        <f t="shared" si="2"/>
        <v>9.19</v>
      </c>
      <c r="J11" s="3">
        <f t="shared" si="3"/>
        <v>3.63E-3</v>
      </c>
      <c r="K11" s="3">
        <f t="shared" si="4"/>
        <v>474.15109999999999</v>
      </c>
      <c r="L11" s="3">
        <f t="shared" si="5"/>
        <v>234.03</v>
      </c>
      <c r="M11" s="3">
        <f t="shared" si="6"/>
        <v>49.36</v>
      </c>
      <c r="N11" s="1"/>
    </row>
    <row r="12" spans="1:21">
      <c r="L12" t="s">
        <v>24</v>
      </c>
      <c r="M12" s="1">
        <f>SUM(M4:M11)/8</f>
        <v>56.385000000000005</v>
      </c>
      <c r="N12" s="1"/>
    </row>
    <row r="15" spans="1:21">
      <c r="A15" s="40" t="s">
        <v>21</v>
      </c>
      <c r="B15" s="41"/>
      <c r="C15" s="41"/>
      <c r="D15" s="41"/>
      <c r="E15" s="41"/>
      <c r="F15" s="42"/>
      <c r="G15" s="43" t="s">
        <v>2</v>
      </c>
      <c r="H15" s="43"/>
      <c r="I15" s="43"/>
      <c r="J15" s="3"/>
      <c r="K15" s="3"/>
      <c r="L15" s="3"/>
      <c r="M15" s="3"/>
    </row>
    <row r="16" spans="1:21" ht="38.25">
      <c r="A16" s="6" t="s">
        <v>23</v>
      </c>
      <c r="B16" s="6" t="s">
        <v>26</v>
      </c>
      <c r="C16" s="6" t="s">
        <v>15</v>
      </c>
      <c r="D16" s="6" t="s">
        <v>20</v>
      </c>
      <c r="E16" s="6" t="s">
        <v>14</v>
      </c>
      <c r="F16" s="6" t="s">
        <v>16</v>
      </c>
      <c r="G16" s="6" t="s">
        <v>3</v>
      </c>
      <c r="H16" s="6" t="s">
        <v>4</v>
      </c>
      <c r="I16" s="6" t="s">
        <v>13</v>
      </c>
      <c r="J16" s="29" t="s">
        <v>25</v>
      </c>
      <c r="K16" s="28" t="s">
        <v>19</v>
      </c>
      <c r="L16" s="28" t="s">
        <v>18</v>
      </c>
      <c r="M16" s="28" t="s">
        <v>17</v>
      </c>
    </row>
    <row r="17" spans="1:14">
      <c r="A17" s="3">
        <v>0.8</v>
      </c>
      <c r="B17" s="3">
        <v>8</v>
      </c>
      <c r="C17" s="5">
        <v>1.8</v>
      </c>
      <c r="D17" s="5">
        <v>8.33</v>
      </c>
      <c r="E17" s="5">
        <v>0.3</v>
      </c>
      <c r="F17" s="5">
        <f>ROUND((C17-E17)*0.15*9.81,2)</f>
        <v>2.21</v>
      </c>
      <c r="G17" s="5">
        <v>0.51</v>
      </c>
      <c r="H17" s="5">
        <v>8.24</v>
      </c>
      <c r="I17" s="5">
        <f>(H17-G17)</f>
        <v>7.73</v>
      </c>
      <c r="J17" s="3">
        <f>ROUND((1.417*((I17*10^-2)^(5/2))),5)</f>
        <v>2.3500000000000001E-3</v>
      </c>
      <c r="K17" s="3">
        <f>(9.81*1000*J17*D17)</f>
        <v>192.03565499999999</v>
      </c>
      <c r="L17" s="3">
        <f>ROUND(((2*3.14*450*F17)/60),2)</f>
        <v>104.09</v>
      </c>
      <c r="M17" s="3">
        <f>ROUND((L17/K17)*100,2)</f>
        <v>54.2</v>
      </c>
    </row>
    <row r="18" spans="1:14">
      <c r="A18" s="3">
        <v>0.9</v>
      </c>
      <c r="B18" s="3">
        <v>9</v>
      </c>
      <c r="C18" s="3">
        <v>2.8</v>
      </c>
      <c r="D18" s="3">
        <v>9.33</v>
      </c>
      <c r="E18" s="3">
        <v>0.6</v>
      </c>
      <c r="F18" s="3">
        <f t="shared" ref="F18:F24" si="7">ROUND((C18-E18)*0.15*9.81,2)</f>
        <v>3.24</v>
      </c>
      <c r="G18" s="5">
        <v>0.51</v>
      </c>
      <c r="H18" s="3">
        <v>8.6</v>
      </c>
      <c r="I18" s="4">
        <f t="shared" ref="I18:I24" si="8">(H18-G18)</f>
        <v>8.09</v>
      </c>
      <c r="J18" s="3">
        <f t="shared" ref="J18:J24" si="9">ROUND((1.417*((I18*10^-2)^(5/2))),5)</f>
        <v>2.64E-3</v>
      </c>
      <c r="K18" s="3">
        <f t="shared" ref="K18:K24" si="10">(9.81*1000*J18*D18)</f>
        <v>241.63207199999999</v>
      </c>
      <c r="L18" s="3">
        <f t="shared" ref="L18:L24" si="11">ROUND(((2*3.14*450*F18)/60),2)</f>
        <v>152.6</v>
      </c>
      <c r="M18" s="3">
        <f t="shared" ref="M18:M24" si="12">ROUND((L18/K18)*100,2)</f>
        <v>63.15</v>
      </c>
    </row>
    <row r="19" spans="1:14">
      <c r="A19" s="3">
        <v>1</v>
      </c>
      <c r="B19" s="3">
        <v>10</v>
      </c>
      <c r="C19" s="3">
        <v>3.8</v>
      </c>
      <c r="D19" s="3">
        <v>10.33</v>
      </c>
      <c r="E19" s="3">
        <v>1.2</v>
      </c>
      <c r="F19" s="3">
        <f t="shared" si="7"/>
        <v>3.83</v>
      </c>
      <c r="G19" s="5">
        <v>0.51</v>
      </c>
      <c r="H19" s="4">
        <v>8.81</v>
      </c>
      <c r="I19" s="4">
        <f t="shared" si="8"/>
        <v>8.3000000000000007</v>
      </c>
      <c r="J19" s="3">
        <f t="shared" si="9"/>
        <v>2.81E-3</v>
      </c>
      <c r="K19" s="3">
        <f t="shared" si="10"/>
        <v>284.757813</v>
      </c>
      <c r="L19" s="3">
        <f t="shared" si="11"/>
        <v>180.39</v>
      </c>
      <c r="M19" s="3">
        <f t="shared" si="12"/>
        <v>63.35</v>
      </c>
    </row>
    <row r="20" spans="1:14">
      <c r="A20" s="3">
        <v>1.2</v>
      </c>
      <c r="B20" s="3">
        <v>12</v>
      </c>
      <c r="C20" s="3">
        <v>4.8</v>
      </c>
      <c r="D20" s="3">
        <v>12.33</v>
      </c>
      <c r="E20" s="3">
        <v>1.5</v>
      </c>
      <c r="F20" s="3">
        <f t="shared" si="7"/>
        <v>4.8600000000000003</v>
      </c>
      <c r="G20" s="5">
        <v>0.51</v>
      </c>
      <c r="H20" s="4">
        <v>9.15</v>
      </c>
      <c r="I20" s="4">
        <f t="shared" si="8"/>
        <v>8.64</v>
      </c>
      <c r="J20" s="3">
        <f t="shared" si="9"/>
        <v>3.1099999999999999E-3</v>
      </c>
      <c r="K20" s="3">
        <f t="shared" si="10"/>
        <v>376.17720300000002</v>
      </c>
      <c r="L20" s="3">
        <f t="shared" si="11"/>
        <v>228.91</v>
      </c>
      <c r="M20" s="3">
        <f t="shared" si="12"/>
        <v>60.85</v>
      </c>
    </row>
    <row r="21" spans="1:14">
      <c r="A21" s="3">
        <v>1.4</v>
      </c>
      <c r="B21" s="3">
        <v>14</v>
      </c>
      <c r="C21" s="3">
        <v>5.8</v>
      </c>
      <c r="D21" s="3">
        <v>14.33</v>
      </c>
      <c r="E21" s="3">
        <v>1.8</v>
      </c>
      <c r="F21" s="3">
        <f t="shared" si="7"/>
        <v>5.89</v>
      </c>
      <c r="G21" s="5">
        <v>0.51</v>
      </c>
      <c r="H21" s="4">
        <v>9.2799999999999994</v>
      </c>
      <c r="I21" s="4">
        <f t="shared" si="8"/>
        <v>8.77</v>
      </c>
      <c r="J21" s="3">
        <f t="shared" si="9"/>
        <v>3.2299999999999998E-3</v>
      </c>
      <c r="K21" s="3">
        <f t="shared" si="10"/>
        <v>454.06467900000001</v>
      </c>
      <c r="L21" s="3">
        <f t="shared" si="11"/>
        <v>277.42</v>
      </c>
      <c r="M21" s="3">
        <f t="shared" si="12"/>
        <v>61.1</v>
      </c>
      <c r="N21" s="1"/>
    </row>
    <row r="22" spans="1:14">
      <c r="A22" s="3">
        <v>1.6</v>
      </c>
      <c r="B22" s="3">
        <v>16</v>
      </c>
      <c r="C22" s="3">
        <v>6.8</v>
      </c>
      <c r="D22" s="3">
        <v>16.329999999999998</v>
      </c>
      <c r="E22" s="3">
        <v>2.2000000000000002</v>
      </c>
      <c r="F22" s="3">
        <f t="shared" si="7"/>
        <v>6.77</v>
      </c>
      <c r="G22" s="5">
        <v>0.51</v>
      </c>
      <c r="H22" s="4">
        <v>9.49</v>
      </c>
      <c r="I22" s="4">
        <f t="shared" si="8"/>
        <v>8.98</v>
      </c>
      <c r="J22" s="3">
        <f t="shared" si="9"/>
        <v>3.4199999999999999E-3</v>
      </c>
      <c r="K22" s="3">
        <f t="shared" si="10"/>
        <v>547.87476599999991</v>
      </c>
      <c r="L22" s="3">
        <f t="shared" si="11"/>
        <v>318.87</v>
      </c>
      <c r="M22" s="3">
        <f t="shared" si="12"/>
        <v>58.2</v>
      </c>
      <c r="N22" s="1"/>
    </row>
    <row r="23" spans="1:14">
      <c r="A23" s="3">
        <v>1.8</v>
      </c>
      <c r="B23" s="3">
        <v>18</v>
      </c>
      <c r="C23" s="3">
        <v>7.8</v>
      </c>
      <c r="D23" s="3">
        <v>18.329999999999998</v>
      </c>
      <c r="E23" s="3">
        <v>2.8</v>
      </c>
      <c r="F23" s="3">
        <f t="shared" si="7"/>
        <v>7.36</v>
      </c>
      <c r="G23" s="5">
        <v>0.51</v>
      </c>
      <c r="H23" s="4">
        <v>9.58</v>
      </c>
      <c r="I23" s="4">
        <f t="shared" si="8"/>
        <v>9.07</v>
      </c>
      <c r="J23" s="3">
        <f t="shared" si="9"/>
        <v>3.5100000000000001E-3</v>
      </c>
      <c r="K23" s="3">
        <f t="shared" si="10"/>
        <v>631.15872300000001</v>
      </c>
      <c r="L23" s="3">
        <f t="shared" si="11"/>
        <v>346.66</v>
      </c>
      <c r="M23" s="3">
        <f t="shared" si="12"/>
        <v>54.92</v>
      </c>
      <c r="N23" s="1"/>
    </row>
    <row r="24" spans="1:14">
      <c r="A24" s="3">
        <v>2</v>
      </c>
      <c r="B24" s="3">
        <v>20</v>
      </c>
      <c r="C24" s="3">
        <v>8.8000000000000007</v>
      </c>
      <c r="D24" s="3">
        <v>20.329999999999998</v>
      </c>
      <c r="E24" s="3">
        <v>3.4</v>
      </c>
      <c r="F24" s="3">
        <f t="shared" si="7"/>
        <v>7.95</v>
      </c>
      <c r="G24" s="5">
        <v>0.51</v>
      </c>
      <c r="H24" s="4">
        <v>9.67</v>
      </c>
      <c r="I24" s="4">
        <f t="shared" si="8"/>
        <v>9.16</v>
      </c>
      <c r="J24" s="3">
        <f t="shared" si="9"/>
        <v>3.5999999999999999E-3</v>
      </c>
      <c r="K24" s="3">
        <f t="shared" si="10"/>
        <v>717.97428000000002</v>
      </c>
      <c r="L24" s="3">
        <f t="shared" si="11"/>
        <v>374.45</v>
      </c>
      <c r="M24" s="3">
        <f t="shared" si="12"/>
        <v>52.15</v>
      </c>
      <c r="N24" s="1"/>
    </row>
    <row r="25" spans="1:14">
      <c r="M25" s="1">
        <f>SUM(M17:M24)/8</f>
        <v>58.489999999999995</v>
      </c>
      <c r="N25" s="1"/>
    </row>
    <row r="28" spans="1:14">
      <c r="A28" s="40" t="s">
        <v>22</v>
      </c>
      <c r="B28" s="41"/>
      <c r="C28" s="41"/>
      <c r="D28" s="41"/>
      <c r="E28" s="41"/>
      <c r="F28" s="42"/>
      <c r="G28" s="43" t="s">
        <v>2</v>
      </c>
      <c r="H28" s="43"/>
      <c r="I28" s="43"/>
      <c r="J28" s="3"/>
      <c r="K28" s="3"/>
      <c r="L28" s="3"/>
      <c r="M28" s="3"/>
    </row>
    <row r="29" spans="1:14" ht="38.25">
      <c r="A29" s="6" t="s">
        <v>23</v>
      </c>
      <c r="B29" s="6" t="s">
        <v>26</v>
      </c>
      <c r="C29" s="6" t="s">
        <v>15</v>
      </c>
      <c r="D29" s="6" t="s">
        <v>20</v>
      </c>
      <c r="E29" s="6" t="s">
        <v>14</v>
      </c>
      <c r="F29" s="6" t="s">
        <v>16</v>
      </c>
      <c r="G29" s="6" t="s">
        <v>3</v>
      </c>
      <c r="H29" s="6" t="s">
        <v>4</v>
      </c>
      <c r="I29" s="6" t="s">
        <v>13</v>
      </c>
      <c r="J29" s="29" t="s">
        <v>25</v>
      </c>
      <c r="K29" s="28" t="s">
        <v>19</v>
      </c>
      <c r="L29" s="28" t="s">
        <v>18</v>
      </c>
      <c r="M29" s="28" t="s">
        <v>17</v>
      </c>
    </row>
    <row r="30" spans="1:14">
      <c r="A30" s="3">
        <v>1</v>
      </c>
      <c r="B30" s="3">
        <v>10</v>
      </c>
      <c r="C30" s="5">
        <v>1.8</v>
      </c>
      <c r="D30" s="5">
        <v>10.32</v>
      </c>
      <c r="E30" s="5">
        <v>0.4</v>
      </c>
      <c r="F30" s="5">
        <f>ROUND((C30-E30)*0.15*9.81,2)</f>
        <v>2.06</v>
      </c>
      <c r="G30" s="5">
        <v>0.52</v>
      </c>
      <c r="H30" s="5">
        <v>8.23</v>
      </c>
      <c r="I30" s="5">
        <f>(H30-G30)</f>
        <v>7.7100000000000009</v>
      </c>
      <c r="J30" s="3">
        <f>ROUND((1.417*((I30*10^-2)^(5/2))),5)</f>
        <v>2.3400000000000001E-3</v>
      </c>
      <c r="K30" s="3">
        <f>(9.81*1000*J30*D30)</f>
        <v>236.89972800000001</v>
      </c>
      <c r="L30" s="3">
        <f>ROUND(((2*3.14*500*F30)/60),2)</f>
        <v>107.81</v>
      </c>
      <c r="M30" s="3">
        <f>ROUND((L30/K30)*100,2)</f>
        <v>45.51</v>
      </c>
    </row>
    <row r="31" spans="1:14">
      <c r="A31" s="3">
        <v>1.1000000000000001</v>
      </c>
      <c r="B31" s="3">
        <v>11</v>
      </c>
      <c r="C31" s="3">
        <v>2.8</v>
      </c>
      <c r="D31" s="3">
        <v>11.32</v>
      </c>
      <c r="E31" s="3">
        <v>0.6</v>
      </c>
      <c r="F31" s="3">
        <f t="shared" ref="F31:F37" si="13">ROUND((C31-E31)*0.15*9.81,2)</f>
        <v>3.24</v>
      </c>
      <c r="G31" s="5">
        <v>0.52</v>
      </c>
      <c r="H31" s="3">
        <v>8.6999999999999993</v>
      </c>
      <c r="I31" s="4">
        <f t="shared" ref="I31:I37" si="14">(H31-G31)</f>
        <v>8.18</v>
      </c>
      <c r="J31" s="3">
        <f t="shared" ref="J31:J37" si="15">ROUND((1.417*((I31*10^-2)^(5/2))),5)</f>
        <v>2.7100000000000002E-3</v>
      </c>
      <c r="K31" s="3">
        <f t="shared" ref="K31:K37" si="16">(9.81*1000*J31*D31)</f>
        <v>300.943332</v>
      </c>
      <c r="L31" s="3">
        <f t="shared" ref="L31:L37" si="17">ROUND(((2*3.14*500*F31)/60),2)</f>
        <v>169.56</v>
      </c>
      <c r="M31" s="3">
        <f t="shared" ref="M31:M37" si="18">ROUND((L31/K31)*100,2)</f>
        <v>56.34</v>
      </c>
    </row>
    <row r="32" spans="1:14">
      <c r="A32" s="3">
        <v>1.3</v>
      </c>
      <c r="B32" s="3">
        <v>13</v>
      </c>
      <c r="C32" s="3">
        <v>3.8</v>
      </c>
      <c r="D32" s="3">
        <v>13.32</v>
      </c>
      <c r="E32" s="3">
        <v>1</v>
      </c>
      <c r="F32" s="3">
        <f t="shared" si="13"/>
        <v>4.12</v>
      </c>
      <c r="G32" s="5">
        <v>0.52</v>
      </c>
      <c r="H32" s="4">
        <v>8.99</v>
      </c>
      <c r="I32" s="4">
        <f t="shared" si="14"/>
        <v>8.4700000000000006</v>
      </c>
      <c r="J32" s="3">
        <f t="shared" si="15"/>
        <v>2.96E-3</v>
      </c>
      <c r="K32" s="3">
        <f t="shared" si="16"/>
        <v>386.78083200000003</v>
      </c>
      <c r="L32" s="3">
        <f t="shared" si="17"/>
        <v>215.61</v>
      </c>
      <c r="M32" s="3">
        <f t="shared" si="18"/>
        <v>55.74</v>
      </c>
    </row>
    <row r="33" spans="1:14">
      <c r="A33" s="3">
        <v>1.5</v>
      </c>
      <c r="B33" s="3">
        <v>15</v>
      </c>
      <c r="C33" s="3">
        <v>4.8</v>
      </c>
      <c r="D33" s="3">
        <v>15.32</v>
      </c>
      <c r="E33" s="3">
        <v>1.2</v>
      </c>
      <c r="F33" s="3">
        <f t="shared" si="13"/>
        <v>5.3</v>
      </c>
      <c r="G33" s="5">
        <v>0.52</v>
      </c>
      <c r="H33" s="4">
        <v>9.24</v>
      </c>
      <c r="I33" s="4">
        <f t="shared" si="14"/>
        <v>8.7200000000000006</v>
      </c>
      <c r="J33" s="3">
        <f t="shared" si="15"/>
        <v>3.1800000000000001E-3</v>
      </c>
      <c r="K33" s="3">
        <f t="shared" si="16"/>
        <v>477.91965600000003</v>
      </c>
      <c r="L33" s="3">
        <f t="shared" si="17"/>
        <v>277.37</v>
      </c>
      <c r="M33" s="3">
        <f t="shared" si="18"/>
        <v>58.04</v>
      </c>
    </row>
    <row r="34" spans="1:14">
      <c r="A34" s="3">
        <v>1.7</v>
      </c>
      <c r="B34" s="3">
        <v>17</v>
      </c>
      <c r="C34" s="3">
        <v>5.8</v>
      </c>
      <c r="D34" s="3">
        <v>17.32</v>
      </c>
      <c r="E34" s="3">
        <v>1.6</v>
      </c>
      <c r="F34" s="3">
        <f t="shared" si="13"/>
        <v>6.18</v>
      </c>
      <c r="G34" s="5">
        <v>0.52</v>
      </c>
      <c r="H34" s="4">
        <v>9.36</v>
      </c>
      <c r="I34" s="4">
        <f t="shared" si="14"/>
        <v>8.84</v>
      </c>
      <c r="J34" s="3">
        <f t="shared" si="15"/>
        <v>3.29E-3</v>
      </c>
      <c r="K34" s="3">
        <f t="shared" si="16"/>
        <v>559.0012680000001</v>
      </c>
      <c r="L34" s="3">
        <f t="shared" si="17"/>
        <v>323.42</v>
      </c>
      <c r="M34" s="3">
        <f t="shared" si="18"/>
        <v>57.86</v>
      </c>
      <c r="N34" s="1"/>
    </row>
    <row r="35" spans="1:14">
      <c r="A35" s="3">
        <v>1.8</v>
      </c>
      <c r="B35" s="3">
        <v>18</v>
      </c>
      <c r="C35" s="3">
        <v>6.8</v>
      </c>
      <c r="D35" s="3">
        <v>18.32</v>
      </c>
      <c r="E35" s="3">
        <v>1.9</v>
      </c>
      <c r="F35" s="3">
        <f t="shared" si="13"/>
        <v>7.21</v>
      </c>
      <c r="G35" s="5">
        <v>0.52</v>
      </c>
      <c r="H35" s="4">
        <v>9.6</v>
      </c>
      <c r="I35" s="4">
        <f t="shared" si="14"/>
        <v>9.08</v>
      </c>
      <c r="J35" s="3">
        <f t="shared" si="15"/>
        <v>3.5200000000000001E-3</v>
      </c>
      <c r="K35" s="3">
        <f t="shared" si="16"/>
        <v>632.61158399999999</v>
      </c>
      <c r="L35" s="3">
        <f t="shared" si="17"/>
        <v>377.32</v>
      </c>
      <c r="M35" s="3">
        <f t="shared" si="18"/>
        <v>59.64</v>
      </c>
      <c r="N35" s="1"/>
    </row>
    <row r="36" spans="1:14">
      <c r="A36" s="3">
        <v>1.9</v>
      </c>
      <c r="B36" s="3">
        <v>19</v>
      </c>
      <c r="C36" s="3">
        <v>7.8</v>
      </c>
      <c r="D36" s="3">
        <v>19.32</v>
      </c>
      <c r="E36" s="3">
        <v>2.4</v>
      </c>
      <c r="F36" s="3">
        <f t="shared" si="13"/>
        <v>7.95</v>
      </c>
      <c r="G36" s="5">
        <v>0.52</v>
      </c>
      <c r="H36" s="4">
        <v>9.66</v>
      </c>
      <c r="I36" s="4">
        <f t="shared" si="14"/>
        <v>9.14</v>
      </c>
      <c r="J36" s="3">
        <f t="shared" si="15"/>
        <v>3.5799999999999998E-3</v>
      </c>
      <c r="K36" s="3">
        <f t="shared" si="16"/>
        <v>678.51453600000002</v>
      </c>
      <c r="L36" s="3">
        <f t="shared" si="17"/>
        <v>416.05</v>
      </c>
      <c r="M36" s="3">
        <f t="shared" si="18"/>
        <v>61.32</v>
      </c>
      <c r="N36" s="1"/>
    </row>
    <row r="37" spans="1:14">
      <c r="A37" s="3">
        <v>2</v>
      </c>
      <c r="B37" s="3">
        <v>20</v>
      </c>
      <c r="C37" s="3">
        <v>8.8000000000000007</v>
      </c>
      <c r="D37" s="3">
        <v>20.32</v>
      </c>
      <c r="E37" s="3">
        <v>3.1</v>
      </c>
      <c r="F37" s="3">
        <f t="shared" si="13"/>
        <v>8.39</v>
      </c>
      <c r="G37" s="5">
        <v>0.52</v>
      </c>
      <c r="H37" s="4">
        <v>9.7799999999999994</v>
      </c>
      <c r="I37" s="4">
        <f t="shared" si="14"/>
        <v>9.26</v>
      </c>
      <c r="J37" s="3">
        <f t="shared" si="15"/>
        <v>3.7000000000000002E-3</v>
      </c>
      <c r="K37" s="3">
        <f t="shared" si="16"/>
        <v>737.55504000000008</v>
      </c>
      <c r="L37" s="3">
        <f t="shared" si="17"/>
        <v>439.08</v>
      </c>
      <c r="M37" s="3">
        <f t="shared" si="18"/>
        <v>59.53</v>
      </c>
      <c r="N37" s="1"/>
    </row>
    <row r="38" spans="1:14">
      <c r="M38" s="1">
        <f>SUM(M30:M37)/8</f>
        <v>56.747500000000002</v>
      </c>
      <c r="N38" s="1"/>
    </row>
    <row r="40" spans="1:1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>
      <c r="A41" s="44" t="s">
        <v>27</v>
      </c>
      <c r="B41" s="45"/>
      <c r="C41" s="45"/>
      <c r="D41" s="45"/>
      <c r="E41" s="45"/>
      <c r="F41" s="46"/>
      <c r="G41" s="47" t="s">
        <v>2</v>
      </c>
      <c r="H41" s="47"/>
      <c r="I41" s="47"/>
      <c r="J41" s="22"/>
      <c r="K41" s="22"/>
      <c r="L41" s="22"/>
      <c r="M41" s="22"/>
      <c r="N41" s="23"/>
    </row>
    <row r="42" spans="1:14" ht="38.25">
      <c r="A42" s="24" t="s">
        <v>23</v>
      </c>
      <c r="B42" s="24" t="s">
        <v>26</v>
      </c>
      <c r="C42" s="24" t="s">
        <v>15</v>
      </c>
      <c r="D42" s="24" t="s">
        <v>20</v>
      </c>
      <c r="E42" s="24" t="s">
        <v>14</v>
      </c>
      <c r="F42" s="24" t="s">
        <v>16</v>
      </c>
      <c r="G42" s="24" t="s">
        <v>3</v>
      </c>
      <c r="H42" s="25" t="s">
        <v>4</v>
      </c>
      <c r="I42" s="25" t="s">
        <v>13</v>
      </c>
      <c r="J42" s="24" t="s">
        <v>29</v>
      </c>
      <c r="K42" s="27" t="s">
        <v>19</v>
      </c>
      <c r="L42" s="27" t="s">
        <v>18</v>
      </c>
      <c r="M42" s="27" t="s">
        <v>17</v>
      </c>
      <c r="N42" s="23"/>
    </row>
    <row r="43" spans="1:14">
      <c r="A43" s="22">
        <v>1</v>
      </c>
      <c r="B43" s="22">
        <v>10</v>
      </c>
      <c r="C43" s="26">
        <v>1.8</v>
      </c>
      <c r="D43" s="26">
        <f>(B43+0.35)</f>
        <v>10.35</v>
      </c>
      <c r="E43" s="26">
        <v>0.6</v>
      </c>
      <c r="F43" s="26">
        <f>ROUND((C43-E43)*0.15*9.81,2)</f>
        <v>1.77</v>
      </c>
      <c r="G43" s="26">
        <v>0.51</v>
      </c>
      <c r="H43" s="26">
        <v>8.5</v>
      </c>
      <c r="I43" s="26">
        <f>(H43-G43)</f>
        <v>7.99</v>
      </c>
      <c r="J43" s="22">
        <f>ROUND((1.417*((I43*10^-2)^(5/2))),5)</f>
        <v>2.5600000000000002E-3</v>
      </c>
      <c r="K43" s="22">
        <f>(9.81*1000*J43*D43)</f>
        <v>259.92576000000003</v>
      </c>
      <c r="L43" s="22">
        <f>ROUND(((2*3.14*550*F43)/60),2)</f>
        <v>101.89</v>
      </c>
      <c r="M43" s="22">
        <f>ROUND((L43/K43)*100,2)</f>
        <v>39.200000000000003</v>
      </c>
      <c r="N43" s="23"/>
    </row>
    <row r="44" spans="1:14">
      <c r="A44" s="22">
        <v>1.1000000000000001</v>
      </c>
      <c r="B44" s="22">
        <v>11</v>
      </c>
      <c r="C44" s="22">
        <v>2.8</v>
      </c>
      <c r="D44" s="26">
        <f t="shared" ref="D44:D50" si="19">(B44+0.35)</f>
        <v>11.35</v>
      </c>
      <c r="E44" s="22">
        <v>0.9</v>
      </c>
      <c r="F44" s="22">
        <f t="shared" ref="F44:F50" si="20">ROUND((C44-E44)*0.15*9.81,2)</f>
        <v>2.8</v>
      </c>
      <c r="G44" s="26">
        <v>0.51</v>
      </c>
      <c r="H44" s="22">
        <v>9</v>
      </c>
      <c r="I44" s="25">
        <f t="shared" ref="I44:I50" si="21">(H44-G44)</f>
        <v>8.49</v>
      </c>
      <c r="J44" s="22">
        <f t="shared" ref="J44:J50" si="22">ROUND((1.417*((I44*10^-2)^(5/2))),5)</f>
        <v>2.98E-3</v>
      </c>
      <c r="K44" s="22">
        <f t="shared" ref="K44:K50" si="23">(9.81*1000*J44*D44)</f>
        <v>331.80363</v>
      </c>
      <c r="L44" s="22">
        <f t="shared" ref="L44:L50" si="24">ROUND(((2*3.14*550*F44)/60),2)</f>
        <v>161.19</v>
      </c>
      <c r="M44" s="22">
        <f t="shared" ref="M44:M50" si="25">ROUND((L44/K44)*100,2)</f>
        <v>48.58</v>
      </c>
      <c r="N44" s="23"/>
    </row>
    <row r="45" spans="1:14">
      <c r="A45" s="22">
        <v>1.2</v>
      </c>
      <c r="B45" s="22">
        <v>12</v>
      </c>
      <c r="C45" s="22">
        <v>3.8</v>
      </c>
      <c r="D45" s="26">
        <f t="shared" si="19"/>
        <v>12.35</v>
      </c>
      <c r="E45" s="22">
        <v>1.2</v>
      </c>
      <c r="F45" s="22">
        <f t="shared" si="20"/>
        <v>3.83</v>
      </c>
      <c r="G45" s="26">
        <v>0.51</v>
      </c>
      <c r="H45" s="25">
        <v>9.3699999999999992</v>
      </c>
      <c r="I45" s="25">
        <f t="shared" si="21"/>
        <v>8.86</v>
      </c>
      <c r="J45" s="22">
        <f t="shared" si="22"/>
        <v>3.31E-3</v>
      </c>
      <c r="K45" s="22">
        <f t="shared" si="23"/>
        <v>401.01808499999999</v>
      </c>
      <c r="L45" s="22">
        <f t="shared" si="24"/>
        <v>220.48</v>
      </c>
      <c r="M45" s="22">
        <f t="shared" si="25"/>
        <v>54.98</v>
      </c>
      <c r="N45" s="23"/>
    </row>
    <row r="46" spans="1:14">
      <c r="A46" s="22">
        <v>1.3</v>
      </c>
      <c r="B46" s="22">
        <v>13</v>
      </c>
      <c r="C46" s="22">
        <v>4.8</v>
      </c>
      <c r="D46" s="26">
        <f t="shared" si="19"/>
        <v>13.35</v>
      </c>
      <c r="E46" s="22">
        <v>1.6</v>
      </c>
      <c r="F46" s="22">
        <f t="shared" si="20"/>
        <v>4.71</v>
      </c>
      <c r="G46" s="26">
        <v>0.51</v>
      </c>
      <c r="H46" s="25">
        <v>9.52</v>
      </c>
      <c r="I46" s="25">
        <f t="shared" si="21"/>
        <v>9.01</v>
      </c>
      <c r="J46" s="22">
        <f t="shared" si="22"/>
        <v>3.4499999999999999E-3</v>
      </c>
      <c r="K46" s="22">
        <f t="shared" si="23"/>
        <v>451.82407499999994</v>
      </c>
      <c r="L46" s="22">
        <f t="shared" si="24"/>
        <v>271.14</v>
      </c>
      <c r="M46" s="22">
        <f t="shared" si="25"/>
        <v>60.01</v>
      </c>
      <c r="N46" s="23"/>
    </row>
    <row r="47" spans="1:14">
      <c r="A47" s="22">
        <v>1.4</v>
      </c>
      <c r="B47" s="22">
        <v>14</v>
      </c>
      <c r="C47" s="22">
        <v>5.8</v>
      </c>
      <c r="D47" s="26">
        <f t="shared" si="19"/>
        <v>14.35</v>
      </c>
      <c r="E47" s="22">
        <v>1.9</v>
      </c>
      <c r="F47" s="22">
        <f t="shared" si="20"/>
        <v>5.74</v>
      </c>
      <c r="G47" s="26">
        <v>0.51</v>
      </c>
      <c r="H47" s="25">
        <v>9.76</v>
      </c>
      <c r="I47" s="25">
        <f t="shared" si="21"/>
        <v>9.25</v>
      </c>
      <c r="J47" s="22">
        <f t="shared" si="22"/>
        <v>3.6900000000000001E-3</v>
      </c>
      <c r="K47" s="22">
        <f t="shared" si="23"/>
        <v>519.45421499999998</v>
      </c>
      <c r="L47" s="22">
        <f t="shared" si="24"/>
        <v>330.43</v>
      </c>
      <c r="M47" s="22">
        <f t="shared" si="25"/>
        <v>63.61</v>
      </c>
      <c r="N47" s="21"/>
    </row>
    <row r="48" spans="1:14">
      <c r="A48" s="22">
        <v>1.5</v>
      </c>
      <c r="B48" s="22">
        <v>15</v>
      </c>
      <c r="C48" s="22">
        <v>6.8</v>
      </c>
      <c r="D48" s="26">
        <f t="shared" si="19"/>
        <v>15.35</v>
      </c>
      <c r="E48" s="22">
        <v>2.4</v>
      </c>
      <c r="F48" s="22">
        <f t="shared" si="20"/>
        <v>6.47</v>
      </c>
      <c r="G48" s="26">
        <v>0.51</v>
      </c>
      <c r="H48" s="25">
        <v>9.89</v>
      </c>
      <c r="I48" s="25">
        <f t="shared" si="21"/>
        <v>9.3800000000000008</v>
      </c>
      <c r="J48" s="22">
        <f t="shared" si="22"/>
        <v>3.82E-3</v>
      </c>
      <c r="K48" s="22">
        <f t="shared" si="23"/>
        <v>575.22897</v>
      </c>
      <c r="L48" s="22">
        <f t="shared" si="24"/>
        <v>372.46</v>
      </c>
      <c r="M48" s="22">
        <f t="shared" si="25"/>
        <v>64.75</v>
      </c>
      <c r="N48" s="21"/>
    </row>
    <row r="49" spans="1:14">
      <c r="A49" s="22">
        <v>1.6</v>
      </c>
      <c r="B49" s="22">
        <v>16</v>
      </c>
      <c r="C49" s="22">
        <v>7.8</v>
      </c>
      <c r="D49" s="26">
        <f t="shared" si="19"/>
        <v>16.350000000000001</v>
      </c>
      <c r="E49" s="22">
        <v>2.8</v>
      </c>
      <c r="F49" s="22">
        <f t="shared" si="20"/>
        <v>7.36</v>
      </c>
      <c r="G49" s="26">
        <v>0.51</v>
      </c>
      <c r="H49" s="25">
        <v>10.1</v>
      </c>
      <c r="I49" s="25">
        <f t="shared" si="21"/>
        <v>9.59</v>
      </c>
      <c r="J49" s="22">
        <f t="shared" si="22"/>
        <v>4.0400000000000002E-3</v>
      </c>
      <c r="K49" s="22">
        <f t="shared" si="23"/>
        <v>647.9897400000001</v>
      </c>
      <c r="L49" s="22">
        <f t="shared" si="24"/>
        <v>423.69</v>
      </c>
      <c r="M49" s="22">
        <f t="shared" si="25"/>
        <v>65.39</v>
      </c>
      <c r="N49" s="21"/>
    </row>
    <row r="50" spans="1:14">
      <c r="A50" s="22">
        <v>1.7</v>
      </c>
      <c r="B50" s="22">
        <v>17</v>
      </c>
      <c r="C50" s="22">
        <v>8.8000000000000007</v>
      </c>
      <c r="D50" s="26">
        <f t="shared" si="19"/>
        <v>17.350000000000001</v>
      </c>
      <c r="E50" s="22">
        <v>3.3</v>
      </c>
      <c r="F50" s="22">
        <f t="shared" si="20"/>
        <v>8.09</v>
      </c>
      <c r="G50" s="26">
        <v>0.51</v>
      </c>
      <c r="H50" s="25">
        <v>10.199999999999999</v>
      </c>
      <c r="I50" s="25">
        <f t="shared" si="21"/>
        <v>9.69</v>
      </c>
      <c r="J50" s="22">
        <f t="shared" si="22"/>
        <v>4.1399999999999996E-3</v>
      </c>
      <c r="K50" s="22">
        <f t="shared" si="23"/>
        <v>704.64249000000007</v>
      </c>
      <c r="L50" s="22">
        <f t="shared" si="24"/>
        <v>465.71</v>
      </c>
      <c r="M50" s="22">
        <f t="shared" si="25"/>
        <v>66.09</v>
      </c>
      <c r="N50" s="21"/>
    </row>
    <row r="51" spans="1:1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1">
        <f>SUM(M43:M50)/8</f>
        <v>57.826250000000002</v>
      </c>
      <c r="N51" s="21"/>
    </row>
    <row r="52" spans="1:14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4" spans="1:14">
      <c r="A54" s="40" t="s">
        <v>28</v>
      </c>
      <c r="B54" s="41"/>
      <c r="C54" s="41"/>
      <c r="D54" s="41"/>
      <c r="E54" s="41"/>
      <c r="F54" s="42"/>
      <c r="G54" s="43" t="s">
        <v>2</v>
      </c>
      <c r="H54" s="43"/>
      <c r="I54" s="43"/>
      <c r="J54" s="3"/>
      <c r="K54" s="3"/>
      <c r="L54" s="3"/>
      <c r="M54" s="3"/>
    </row>
    <row r="55" spans="1:14" ht="38.25">
      <c r="A55" s="6" t="s">
        <v>23</v>
      </c>
      <c r="B55" s="6" t="s">
        <v>26</v>
      </c>
      <c r="C55" s="3" t="s">
        <v>15</v>
      </c>
      <c r="D55" s="3" t="s">
        <v>20</v>
      </c>
      <c r="E55" s="3" t="s">
        <v>14</v>
      </c>
      <c r="F55" s="3" t="s">
        <v>16</v>
      </c>
      <c r="G55" s="4" t="s">
        <v>3</v>
      </c>
      <c r="H55" s="4" t="s">
        <v>4</v>
      </c>
      <c r="I55" s="4" t="s">
        <v>13</v>
      </c>
      <c r="J55" s="30" t="s">
        <v>29</v>
      </c>
      <c r="K55" s="9" t="s">
        <v>19</v>
      </c>
      <c r="L55" s="9" t="s">
        <v>18</v>
      </c>
      <c r="M55" s="9" t="s">
        <v>17</v>
      </c>
    </row>
    <row r="56" spans="1:14">
      <c r="A56" s="3">
        <v>0.85</v>
      </c>
      <c r="B56" s="3">
        <v>8.5</v>
      </c>
      <c r="C56" s="5">
        <v>1.8</v>
      </c>
      <c r="D56" s="5">
        <f>(B56+0.32)</f>
        <v>8.82</v>
      </c>
      <c r="E56" s="5">
        <v>0.5</v>
      </c>
      <c r="F56" s="5">
        <f>ROUND((C56-E56)*0.15*9.81,2)</f>
        <v>1.91</v>
      </c>
      <c r="G56" s="5">
        <v>0.5</v>
      </c>
      <c r="H56" s="5">
        <f t="shared" ref="H56:H61" si="26">(I56-G56)</f>
        <v>7.05</v>
      </c>
      <c r="I56" s="5">
        <v>7.55</v>
      </c>
      <c r="J56" s="3">
        <f>ROUND((1.417*((I56*10^-2)^(5/2))),5)</f>
        <v>2.2200000000000002E-3</v>
      </c>
      <c r="K56" s="3">
        <f>(9.81*1000*J56*D56)</f>
        <v>192.08372400000002</v>
      </c>
      <c r="L56" s="3">
        <f>ROUND(((2*3.14*600*F56)/60),2)</f>
        <v>119.95</v>
      </c>
      <c r="M56" s="3">
        <f>ROUND((L56/K56)*100,2)</f>
        <v>62.45</v>
      </c>
    </row>
    <row r="57" spans="1:14">
      <c r="A57" s="3">
        <v>0.95</v>
      </c>
      <c r="B57" s="3">
        <v>9.5</v>
      </c>
      <c r="C57" s="3">
        <v>2.8</v>
      </c>
      <c r="D57" s="5">
        <f t="shared" ref="D57:D63" si="27">(B57+0.32)</f>
        <v>9.82</v>
      </c>
      <c r="E57" s="3">
        <v>1.1000000000000001</v>
      </c>
      <c r="F57" s="3">
        <f t="shared" ref="F57:F63" si="28">ROUND((C57-E57)*0.15*9.81,2)</f>
        <v>2.5</v>
      </c>
      <c r="G57" s="5">
        <v>0.5</v>
      </c>
      <c r="H57" s="5">
        <f t="shared" si="26"/>
        <v>7.49</v>
      </c>
      <c r="I57" s="4">
        <v>7.99</v>
      </c>
      <c r="J57" s="3">
        <f t="shared" ref="J57:J63" si="29">ROUND((1.417*((I57*10^-2)^(5/2))),5)</f>
        <v>2.5600000000000002E-3</v>
      </c>
      <c r="K57" s="3">
        <f t="shared" ref="K57:K63" si="30">(9.81*1000*J57*D57)</f>
        <v>246.61555200000004</v>
      </c>
      <c r="L57" s="3">
        <f t="shared" ref="L57:L63" si="31">ROUND(((2*3.14*600*F57)/60),2)</f>
        <v>157</v>
      </c>
      <c r="M57" s="3">
        <f t="shared" ref="M57:M63" si="32">ROUND((L57/K57)*100,2)</f>
        <v>63.66</v>
      </c>
    </row>
    <row r="58" spans="1:14">
      <c r="A58" s="3">
        <v>1.05</v>
      </c>
      <c r="B58" s="3">
        <v>10.5</v>
      </c>
      <c r="C58" s="3">
        <v>3.8</v>
      </c>
      <c r="D58" s="5">
        <f t="shared" si="27"/>
        <v>10.82</v>
      </c>
      <c r="E58" s="3">
        <v>1.6</v>
      </c>
      <c r="F58" s="3">
        <f t="shared" si="28"/>
        <v>3.24</v>
      </c>
      <c r="G58" s="5">
        <v>0.5</v>
      </c>
      <c r="H58" s="5">
        <f t="shared" si="26"/>
        <v>7.8800000000000008</v>
      </c>
      <c r="I58" s="4">
        <v>8.3800000000000008</v>
      </c>
      <c r="J58" s="3">
        <f t="shared" si="29"/>
        <v>2.8800000000000002E-3</v>
      </c>
      <c r="K58" s="3">
        <f t="shared" si="30"/>
        <v>305.69529600000004</v>
      </c>
      <c r="L58" s="3">
        <f t="shared" si="31"/>
        <v>203.47</v>
      </c>
      <c r="M58" s="3">
        <f t="shared" si="32"/>
        <v>66.56</v>
      </c>
    </row>
    <row r="59" spans="1:14">
      <c r="A59" s="3">
        <v>1.25</v>
      </c>
      <c r="B59" s="3">
        <v>12.5</v>
      </c>
      <c r="C59" s="3">
        <v>4.8</v>
      </c>
      <c r="D59" s="5">
        <f t="shared" si="27"/>
        <v>12.82</v>
      </c>
      <c r="E59" s="3">
        <v>2.2000000000000002</v>
      </c>
      <c r="F59" s="3">
        <f t="shared" si="28"/>
        <v>3.83</v>
      </c>
      <c r="G59" s="5">
        <v>0.5</v>
      </c>
      <c r="H59" s="5">
        <f t="shared" si="26"/>
        <v>8.17</v>
      </c>
      <c r="I59" s="4">
        <v>8.67</v>
      </c>
      <c r="J59" s="3">
        <f t="shared" si="29"/>
        <v>3.14E-3</v>
      </c>
      <c r="K59" s="3">
        <f t="shared" si="30"/>
        <v>394.89958799999999</v>
      </c>
      <c r="L59" s="3">
        <f t="shared" si="31"/>
        <v>240.52</v>
      </c>
      <c r="M59" s="3">
        <f t="shared" si="32"/>
        <v>60.91</v>
      </c>
    </row>
    <row r="60" spans="1:14">
      <c r="A60" s="3">
        <v>1.45</v>
      </c>
      <c r="B60" s="3">
        <v>14.5</v>
      </c>
      <c r="C60" s="3">
        <v>5.8</v>
      </c>
      <c r="D60" s="5">
        <f t="shared" si="27"/>
        <v>14.82</v>
      </c>
      <c r="E60" s="3">
        <v>2.8</v>
      </c>
      <c r="F60" s="3">
        <f t="shared" si="28"/>
        <v>4.41</v>
      </c>
      <c r="G60" s="5">
        <v>0.5</v>
      </c>
      <c r="H60" s="5">
        <f t="shared" si="26"/>
        <v>8.42</v>
      </c>
      <c r="I60" s="4">
        <v>8.92</v>
      </c>
      <c r="J60" s="3">
        <f t="shared" si="29"/>
        <v>3.3700000000000002E-3</v>
      </c>
      <c r="K60" s="3">
        <f t="shared" si="30"/>
        <v>489.94475399999999</v>
      </c>
      <c r="L60" s="3">
        <f t="shared" si="31"/>
        <v>276.95</v>
      </c>
      <c r="M60" s="3">
        <f t="shared" si="32"/>
        <v>56.53</v>
      </c>
      <c r="N60" s="1"/>
    </row>
    <row r="61" spans="1:14">
      <c r="A61" s="3">
        <v>1.65</v>
      </c>
      <c r="B61" s="3">
        <v>16.5</v>
      </c>
      <c r="C61" s="3">
        <v>6.8</v>
      </c>
      <c r="D61" s="5">
        <f t="shared" si="27"/>
        <v>16.82</v>
      </c>
      <c r="E61" s="3">
        <v>3.3</v>
      </c>
      <c r="F61" s="3">
        <f t="shared" si="28"/>
        <v>5.15</v>
      </c>
      <c r="G61" s="5">
        <v>0.5</v>
      </c>
      <c r="H61" s="5">
        <f t="shared" si="26"/>
        <v>8.7899999999999991</v>
      </c>
      <c r="I61" s="4">
        <v>9.2899999999999991</v>
      </c>
      <c r="J61" s="3">
        <f t="shared" si="29"/>
        <v>3.7299999999999998E-3</v>
      </c>
      <c r="K61" s="3">
        <f t="shared" si="30"/>
        <v>615.46566599999994</v>
      </c>
      <c r="L61" s="3">
        <f t="shared" si="31"/>
        <v>323.42</v>
      </c>
      <c r="M61" s="3">
        <f t="shared" si="32"/>
        <v>52.55</v>
      </c>
      <c r="N61" s="1"/>
    </row>
    <row r="62" spans="1:14">
      <c r="A62" s="3">
        <v>1.85</v>
      </c>
      <c r="B62" s="3">
        <v>18.5</v>
      </c>
      <c r="C62" s="3">
        <v>7.8</v>
      </c>
      <c r="D62" s="5">
        <f t="shared" si="27"/>
        <v>18.82</v>
      </c>
      <c r="E62" s="3">
        <v>4.5</v>
      </c>
      <c r="F62" s="3">
        <f t="shared" si="28"/>
        <v>4.8600000000000003</v>
      </c>
      <c r="G62" s="5">
        <v>0.5</v>
      </c>
      <c r="H62" s="4">
        <v>9.14</v>
      </c>
      <c r="I62" s="13">
        <f t="shared" ref="I62:I63" si="33">(H62-G62)</f>
        <v>8.64</v>
      </c>
      <c r="J62" s="3">
        <f t="shared" si="29"/>
        <v>3.1099999999999999E-3</v>
      </c>
      <c r="K62" s="3">
        <f t="shared" si="30"/>
        <v>574.18126200000006</v>
      </c>
      <c r="L62" s="3">
        <f t="shared" si="31"/>
        <v>305.20999999999998</v>
      </c>
      <c r="M62" s="3">
        <f t="shared" si="32"/>
        <v>53.16</v>
      </c>
      <c r="N62" s="1"/>
    </row>
    <row r="63" spans="1:14">
      <c r="A63" s="3">
        <v>2.0499999999999998</v>
      </c>
      <c r="B63" s="3">
        <v>20.5</v>
      </c>
      <c r="C63" s="3">
        <v>8.8000000000000007</v>
      </c>
      <c r="D63" s="5">
        <f t="shared" si="27"/>
        <v>20.82</v>
      </c>
      <c r="E63" s="3">
        <v>5.0999999999999996</v>
      </c>
      <c r="F63" s="3">
        <f t="shared" si="28"/>
        <v>5.44</v>
      </c>
      <c r="G63" s="5">
        <v>0.5</v>
      </c>
      <c r="H63" s="4">
        <v>9.51</v>
      </c>
      <c r="I63" s="13">
        <f t="shared" si="33"/>
        <v>9.01</v>
      </c>
      <c r="J63" s="3">
        <f t="shared" si="29"/>
        <v>3.4499999999999999E-3</v>
      </c>
      <c r="K63" s="3">
        <f t="shared" si="30"/>
        <v>704.64248999999995</v>
      </c>
      <c r="L63" s="3">
        <f t="shared" si="31"/>
        <v>341.63</v>
      </c>
      <c r="M63" s="3">
        <f t="shared" si="32"/>
        <v>48.48</v>
      </c>
      <c r="N63" s="1"/>
    </row>
    <row r="64" spans="1:14">
      <c r="I64" s="14"/>
      <c r="M64" s="21">
        <f>SUM(M56:M63)/8</f>
        <v>58.037500000000009</v>
      </c>
      <c r="N64" s="1"/>
    </row>
  </sheetData>
  <mergeCells count="9">
    <mergeCell ref="A54:F54"/>
    <mergeCell ref="G54:I54"/>
    <mergeCell ref="G28:I28"/>
    <mergeCell ref="A28:F28"/>
    <mergeCell ref="A15:F15"/>
    <mergeCell ref="G15:I15"/>
    <mergeCell ref="G2:I2"/>
    <mergeCell ref="A41:F41"/>
    <mergeCell ref="G41:I41"/>
  </mergeCells>
  <printOptions gridLines="1" gridLinesSet="0"/>
  <pageMargins left="0.75" right="0.75" top="1" bottom="1" header="0.5" footer="0.5"/>
  <pageSetup paperSize="9" orientation="portrait" horizontalDpi="200" verticalDpi="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H13"/>
  <sheetViews>
    <sheetView workbookViewId="0">
      <selection activeCell="E24" sqref="E24"/>
    </sheetView>
  </sheetViews>
  <sheetFormatPr defaultRowHeight="12.75"/>
  <sheetData>
    <row r="2" spans="1:8">
      <c r="A2" t="s">
        <v>7</v>
      </c>
    </row>
    <row r="3" spans="1:8">
      <c r="A3" s="48" t="s">
        <v>12</v>
      </c>
      <c r="B3" s="48"/>
      <c r="C3" s="48"/>
      <c r="F3" s="2"/>
      <c r="G3" s="2"/>
    </row>
    <row r="4" spans="1:8">
      <c r="A4" s="43" t="s">
        <v>9</v>
      </c>
      <c r="B4" s="43" t="s">
        <v>10</v>
      </c>
      <c r="C4" s="43"/>
      <c r="D4" s="43" t="s">
        <v>1</v>
      </c>
      <c r="E4" s="40" t="s">
        <v>11</v>
      </c>
      <c r="F4" s="41"/>
      <c r="G4" s="42"/>
      <c r="H4" s="3" t="s">
        <v>6</v>
      </c>
    </row>
    <row r="5" spans="1:8">
      <c r="A5" s="43"/>
      <c r="B5" s="3" t="s">
        <v>10</v>
      </c>
      <c r="C5" s="3" t="s">
        <v>0</v>
      </c>
      <c r="D5" s="43"/>
      <c r="E5" s="3" t="s">
        <v>3</v>
      </c>
      <c r="F5" s="3" t="s">
        <v>4</v>
      </c>
      <c r="G5" s="3" t="s">
        <v>5</v>
      </c>
      <c r="H5" s="3"/>
    </row>
    <row r="6" spans="1:8">
      <c r="A6" s="3">
        <v>1700</v>
      </c>
      <c r="B6" s="3">
        <v>1</v>
      </c>
      <c r="C6" s="3">
        <v>0</v>
      </c>
      <c r="D6" s="5">
        <f t="shared" ref="D6:D13" si="0">ROUND((B6-C6)*0.15*9.81,2)</f>
        <v>1.47</v>
      </c>
      <c r="E6" s="3">
        <v>3.09</v>
      </c>
      <c r="F6" s="3">
        <v>10.88</v>
      </c>
      <c r="G6" s="3">
        <f t="shared" ref="G6:G13" si="1">ROUND((F6-E6),2)</f>
        <v>7.79</v>
      </c>
      <c r="H6" s="3"/>
    </row>
    <row r="7" spans="1:8">
      <c r="A7" s="3">
        <v>1625</v>
      </c>
      <c r="B7" s="3">
        <v>2</v>
      </c>
      <c r="C7" s="3">
        <v>0</v>
      </c>
      <c r="D7" s="5">
        <f t="shared" si="0"/>
        <v>2.94</v>
      </c>
      <c r="E7" s="3">
        <v>3.09</v>
      </c>
      <c r="F7" s="3">
        <v>11.22</v>
      </c>
      <c r="G7" s="3">
        <f t="shared" si="1"/>
        <v>8.1300000000000008</v>
      </c>
      <c r="H7" s="3"/>
    </row>
    <row r="8" spans="1:8">
      <c r="A8" s="3">
        <v>1500</v>
      </c>
      <c r="B8" s="3">
        <v>3</v>
      </c>
      <c r="C8" s="3">
        <v>0.25</v>
      </c>
      <c r="D8" s="5">
        <f t="shared" si="0"/>
        <v>4.05</v>
      </c>
      <c r="E8" s="3">
        <v>3.09</v>
      </c>
      <c r="F8" s="3">
        <v>11.36</v>
      </c>
      <c r="G8" s="3">
        <f t="shared" si="1"/>
        <v>8.27</v>
      </c>
      <c r="H8" s="3"/>
    </row>
    <row r="9" spans="1:8">
      <c r="A9" s="3">
        <v>1390</v>
      </c>
      <c r="B9" s="3">
        <v>4</v>
      </c>
      <c r="C9" s="3">
        <v>1</v>
      </c>
      <c r="D9" s="5">
        <f t="shared" si="0"/>
        <v>4.41</v>
      </c>
      <c r="E9" s="3">
        <v>3.09</v>
      </c>
      <c r="F9" s="3">
        <v>11.48</v>
      </c>
      <c r="G9" s="3">
        <f t="shared" si="1"/>
        <v>8.39</v>
      </c>
      <c r="H9" s="3"/>
    </row>
    <row r="10" spans="1:8">
      <c r="A10" s="3">
        <v>1270</v>
      </c>
      <c r="B10" s="3">
        <v>5</v>
      </c>
      <c r="C10" s="3">
        <v>1.5</v>
      </c>
      <c r="D10" s="5">
        <f t="shared" si="0"/>
        <v>5.15</v>
      </c>
      <c r="E10" s="3">
        <v>3.09</v>
      </c>
      <c r="F10" s="3">
        <v>11.59</v>
      </c>
      <c r="G10" s="3">
        <f t="shared" si="1"/>
        <v>8.5</v>
      </c>
      <c r="H10" s="3"/>
    </row>
    <row r="11" spans="1:8">
      <c r="A11" s="3">
        <v>1160</v>
      </c>
      <c r="B11" s="3">
        <v>6</v>
      </c>
      <c r="C11" s="3">
        <v>2</v>
      </c>
      <c r="D11" s="5">
        <f t="shared" si="0"/>
        <v>5.89</v>
      </c>
      <c r="E11" s="3">
        <v>3.09</v>
      </c>
      <c r="F11" s="3">
        <v>11.71</v>
      </c>
      <c r="G11" s="3">
        <f t="shared" si="1"/>
        <v>8.6199999999999992</v>
      </c>
      <c r="H11" s="3"/>
    </row>
    <row r="12" spans="1:8">
      <c r="A12" s="3">
        <v>1060</v>
      </c>
      <c r="B12" s="3">
        <v>7</v>
      </c>
      <c r="C12" s="3">
        <v>3.5</v>
      </c>
      <c r="D12" s="5">
        <f t="shared" si="0"/>
        <v>5.15</v>
      </c>
      <c r="E12" s="3">
        <v>3.09</v>
      </c>
      <c r="F12" s="3">
        <v>11.85</v>
      </c>
      <c r="G12" s="3">
        <f t="shared" si="1"/>
        <v>8.76</v>
      </c>
      <c r="H12" s="3"/>
    </row>
    <row r="13" spans="1:8">
      <c r="A13" s="3">
        <v>850</v>
      </c>
      <c r="B13" s="3">
        <v>8</v>
      </c>
      <c r="C13" s="3">
        <v>4</v>
      </c>
      <c r="D13" s="5">
        <f t="shared" si="0"/>
        <v>5.89</v>
      </c>
      <c r="E13" s="3">
        <v>3.09</v>
      </c>
      <c r="F13" s="3">
        <v>11.89</v>
      </c>
      <c r="G13" s="3">
        <f t="shared" si="1"/>
        <v>8.8000000000000007</v>
      </c>
      <c r="H13" s="3"/>
    </row>
  </sheetData>
  <mergeCells count="5">
    <mergeCell ref="A3:C3"/>
    <mergeCell ref="B4:C4"/>
    <mergeCell ref="A4:A5"/>
    <mergeCell ref="D4:D5"/>
    <mergeCell ref="E4:G4"/>
  </mergeCell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3"/>
  <sheetViews>
    <sheetView tabSelected="1" workbookViewId="0">
      <selection activeCell="N15" sqref="N15"/>
    </sheetView>
  </sheetViews>
  <sheetFormatPr defaultRowHeight="12.75"/>
  <sheetData>
    <row r="1" spans="1:14">
      <c r="A1" s="56" t="s">
        <v>48</v>
      </c>
      <c r="B1" s="56" t="s">
        <v>49</v>
      </c>
      <c r="C1" s="56" t="s">
        <v>50</v>
      </c>
      <c r="D1" s="58" t="s">
        <v>10</v>
      </c>
      <c r="E1" s="58"/>
      <c r="F1" s="56" t="s">
        <v>51</v>
      </c>
      <c r="G1" s="58" t="s">
        <v>52</v>
      </c>
      <c r="H1" s="58"/>
      <c r="I1" s="58"/>
      <c r="J1" s="59" t="s">
        <v>53</v>
      </c>
      <c r="K1" s="56" t="s">
        <v>42</v>
      </c>
      <c r="L1" s="56" t="s">
        <v>54</v>
      </c>
      <c r="M1" s="59" t="s">
        <v>47</v>
      </c>
    </row>
    <row r="2" spans="1:14">
      <c r="A2" s="56"/>
      <c r="B2" s="56"/>
      <c r="C2" s="56"/>
      <c r="D2" t="s">
        <v>55</v>
      </c>
      <c r="E2" t="s">
        <v>56</v>
      </c>
      <c r="F2" s="56"/>
      <c r="G2" s="60" t="s">
        <v>57</v>
      </c>
      <c r="H2" s="60" t="s">
        <v>58</v>
      </c>
      <c r="I2" s="60" t="s">
        <v>59</v>
      </c>
      <c r="J2" s="59"/>
      <c r="K2" s="56"/>
      <c r="L2" s="56"/>
      <c r="M2" s="59"/>
    </row>
    <row r="3" spans="1:14">
      <c r="A3" s="38">
        <v>0.6</v>
      </c>
      <c r="B3" s="38">
        <v>0.12</v>
      </c>
      <c r="C3" s="38">
        <f t="shared" ref="C3:C9" si="0">((A3+B3)*10+0.45)</f>
        <v>7.6499999999999995</v>
      </c>
      <c r="D3" s="38">
        <v>1</v>
      </c>
      <c r="E3" s="38">
        <v>0.5</v>
      </c>
      <c r="F3" s="38">
        <f t="shared" ref="F3:F9" si="1">ROUND(((D3-E3)*0.15*9.81),3)</f>
        <v>0.73599999999999999</v>
      </c>
      <c r="G3" s="38">
        <v>2.6</v>
      </c>
      <c r="H3" s="38">
        <v>8.44</v>
      </c>
      <c r="I3" s="38">
        <f t="shared" ref="I3:I9" si="2">H3-G3</f>
        <v>5.84</v>
      </c>
      <c r="J3" s="38">
        <f t="shared" ref="J3:J9" si="3">ROUND(((2/3)*0.64*0.47*(SQRT(2*9.81))*(I3*10^-2)^1.5),4)</f>
        <v>1.2500000000000001E-2</v>
      </c>
      <c r="K3" s="38">
        <f t="shared" ref="K3:K9" si="4">ROUND((9810*J3*C3),2)</f>
        <v>938.08</v>
      </c>
      <c r="L3" s="38">
        <f t="shared" ref="L3:L9" si="5">ROUND(((2*3.143*1000*F3)/60),2)</f>
        <v>77.11</v>
      </c>
      <c r="M3" s="38">
        <f t="shared" ref="M3:M9" si="6">ROUND(((L3/K3)*100),2)</f>
        <v>8.2200000000000006</v>
      </c>
    </row>
    <row r="4" spans="1:14">
      <c r="A4" s="38">
        <v>0.8</v>
      </c>
      <c r="B4" s="38">
        <v>0.12</v>
      </c>
      <c r="C4" s="38">
        <f t="shared" si="0"/>
        <v>9.65</v>
      </c>
      <c r="D4" s="38">
        <v>3</v>
      </c>
      <c r="E4" s="38">
        <v>1.5</v>
      </c>
      <c r="F4" s="38">
        <f t="shared" si="1"/>
        <v>2.2069999999999999</v>
      </c>
      <c r="G4" s="38">
        <v>2.6</v>
      </c>
      <c r="H4" s="38">
        <v>9.36</v>
      </c>
      <c r="I4" s="38">
        <f t="shared" si="2"/>
        <v>6.76</v>
      </c>
      <c r="J4" s="38">
        <f t="shared" si="3"/>
        <v>1.5599999999999999E-2</v>
      </c>
      <c r="K4" s="38">
        <f t="shared" si="4"/>
        <v>1476.8</v>
      </c>
      <c r="L4" s="38">
        <f t="shared" si="5"/>
        <v>231.22</v>
      </c>
      <c r="M4" s="38">
        <f t="shared" si="6"/>
        <v>15.66</v>
      </c>
    </row>
    <row r="5" spans="1:14">
      <c r="A5" s="38">
        <v>1</v>
      </c>
      <c r="B5" s="38">
        <v>0.12</v>
      </c>
      <c r="C5" s="38">
        <f t="shared" si="0"/>
        <v>11.65</v>
      </c>
      <c r="D5" s="38">
        <v>5</v>
      </c>
      <c r="E5" s="38">
        <v>2.5</v>
      </c>
      <c r="F5" s="38">
        <f t="shared" si="1"/>
        <v>3.6789999999999998</v>
      </c>
      <c r="G5" s="38">
        <v>2.6</v>
      </c>
      <c r="H5" s="38">
        <v>10.050000000000001</v>
      </c>
      <c r="I5" s="38">
        <f t="shared" si="2"/>
        <v>7.4500000000000011</v>
      </c>
      <c r="J5" s="38">
        <f t="shared" si="3"/>
        <v>1.8100000000000002E-2</v>
      </c>
      <c r="K5" s="38">
        <f t="shared" si="4"/>
        <v>2068.59</v>
      </c>
      <c r="L5" s="38">
        <f t="shared" si="5"/>
        <v>385.44</v>
      </c>
      <c r="M5" s="38">
        <f t="shared" si="6"/>
        <v>18.63</v>
      </c>
    </row>
    <row r="6" spans="1:14">
      <c r="A6" s="38">
        <v>1.2</v>
      </c>
      <c r="B6" s="38">
        <v>0.11</v>
      </c>
      <c r="C6" s="38">
        <f t="shared" si="0"/>
        <v>13.55</v>
      </c>
      <c r="D6" s="38">
        <v>7</v>
      </c>
      <c r="E6" s="38">
        <v>3.5</v>
      </c>
      <c r="F6" s="38">
        <f t="shared" si="1"/>
        <v>5.15</v>
      </c>
      <c r="G6" s="38">
        <v>2.6</v>
      </c>
      <c r="H6" s="38">
        <v>10.46</v>
      </c>
      <c r="I6" s="38">
        <f t="shared" si="2"/>
        <v>7.8600000000000012</v>
      </c>
      <c r="J6" s="38">
        <f t="shared" si="3"/>
        <v>1.9599999999999999E-2</v>
      </c>
      <c r="K6" s="38">
        <f t="shared" si="4"/>
        <v>2605.34</v>
      </c>
      <c r="L6" s="38">
        <f t="shared" si="5"/>
        <v>539.54999999999995</v>
      </c>
      <c r="M6" s="38">
        <f t="shared" si="6"/>
        <v>20.71</v>
      </c>
    </row>
    <row r="7" spans="1:14">
      <c r="A7" s="38">
        <v>1.3</v>
      </c>
      <c r="B7" s="38">
        <v>0.11</v>
      </c>
      <c r="C7" s="38">
        <f t="shared" si="0"/>
        <v>14.55</v>
      </c>
      <c r="D7" s="38">
        <v>9</v>
      </c>
      <c r="E7" s="38">
        <v>4.5</v>
      </c>
      <c r="F7" s="38">
        <f t="shared" si="1"/>
        <v>6.6219999999999999</v>
      </c>
      <c r="G7" s="38">
        <v>2.6</v>
      </c>
      <c r="H7" s="38">
        <v>10.84</v>
      </c>
      <c r="I7" s="38">
        <f t="shared" si="2"/>
        <v>8.24</v>
      </c>
      <c r="J7" s="38">
        <f t="shared" si="3"/>
        <v>2.1000000000000001E-2</v>
      </c>
      <c r="K7" s="38">
        <f t="shared" si="4"/>
        <v>2997.45</v>
      </c>
      <c r="L7" s="38">
        <f t="shared" si="5"/>
        <v>693.76</v>
      </c>
      <c r="M7" s="38">
        <f t="shared" si="6"/>
        <v>23.15</v>
      </c>
    </row>
    <row r="8" spans="1:14">
      <c r="A8" s="38">
        <v>1.4</v>
      </c>
      <c r="B8" s="38">
        <v>0.1</v>
      </c>
      <c r="C8" s="38">
        <f t="shared" si="0"/>
        <v>15.45</v>
      </c>
      <c r="D8" s="38">
        <v>10</v>
      </c>
      <c r="E8" s="38">
        <v>5</v>
      </c>
      <c r="F8" s="38">
        <f t="shared" si="1"/>
        <v>7.3579999999999997</v>
      </c>
      <c r="G8" s="38">
        <v>2.6</v>
      </c>
      <c r="H8" s="38">
        <v>11.06</v>
      </c>
      <c r="I8" s="38">
        <f t="shared" si="2"/>
        <v>8.4600000000000009</v>
      </c>
      <c r="J8" s="38">
        <f t="shared" si="3"/>
        <v>2.1899999999999999E-2</v>
      </c>
      <c r="K8" s="38">
        <f t="shared" si="4"/>
        <v>3319.26</v>
      </c>
      <c r="L8" s="38">
        <f t="shared" si="5"/>
        <v>770.87</v>
      </c>
      <c r="M8" s="38">
        <f t="shared" si="6"/>
        <v>23.22</v>
      </c>
    </row>
    <row r="9" spans="1:14">
      <c r="A9" s="38">
        <v>1.5</v>
      </c>
      <c r="B9" s="38">
        <v>0.1</v>
      </c>
      <c r="C9" s="38">
        <f t="shared" si="0"/>
        <v>16.45</v>
      </c>
      <c r="D9" s="38">
        <v>11</v>
      </c>
      <c r="E9" s="38">
        <v>5.5</v>
      </c>
      <c r="F9" s="38">
        <f t="shared" si="1"/>
        <v>8.093</v>
      </c>
      <c r="G9" s="38">
        <v>2.6</v>
      </c>
      <c r="H9" s="38">
        <v>11.25</v>
      </c>
      <c r="I9" s="38">
        <f t="shared" si="2"/>
        <v>8.65</v>
      </c>
      <c r="J9" s="38">
        <f t="shared" si="3"/>
        <v>2.2599999999999999E-2</v>
      </c>
      <c r="K9" s="38">
        <f t="shared" si="4"/>
        <v>3647.06</v>
      </c>
      <c r="L9" s="38">
        <f t="shared" si="5"/>
        <v>847.88</v>
      </c>
      <c r="M9" s="38">
        <f t="shared" si="6"/>
        <v>23.25</v>
      </c>
    </row>
    <row r="12" spans="1:14" ht="12.75" customHeight="1"/>
    <row r="14" spans="1:14">
      <c r="A14" s="49" t="s">
        <v>30</v>
      </c>
      <c r="B14" s="50"/>
      <c r="C14" s="50"/>
      <c r="D14" s="50"/>
      <c r="E14" s="50"/>
      <c r="F14" s="50"/>
      <c r="G14" s="61"/>
      <c r="H14" s="40" t="s">
        <v>2</v>
      </c>
      <c r="I14" s="41"/>
      <c r="J14" s="42"/>
      <c r="K14" s="3"/>
      <c r="L14" s="3"/>
      <c r="M14" s="3"/>
      <c r="N14" s="3"/>
    </row>
    <row r="15" spans="1:14" ht="38.25">
      <c r="A15" s="6" t="s">
        <v>23</v>
      </c>
      <c r="B15" s="29" t="s">
        <v>33</v>
      </c>
      <c r="C15" s="6" t="s">
        <v>26</v>
      </c>
      <c r="D15" s="6" t="s">
        <v>15</v>
      </c>
      <c r="E15" s="6" t="s">
        <v>20</v>
      </c>
      <c r="F15" s="6" t="s">
        <v>14</v>
      </c>
      <c r="G15" s="6" t="s">
        <v>16</v>
      </c>
      <c r="H15" s="6" t="s">
        <v>3</v>
      </c>
      <c r="I15" s="6" t="s">
        <v>4</v>
      </c>
      <c r="J15" s="6" t="s">
        <v>13</v>
      </c>
      <c r="K15" s="29" t="s">
        <v>29</v>
      </c>
      <c r="L15" s="28" t="s">
        <v>19</v>
      </c>
      <c r="M15" s="28" t="s">
        <v>18</v>
      </c>
      <c r="N15" s="28" t="s">
        <v>17</v>
      </c>
    </row>
    <row r="16" spans="1:14">
      <c r="A16" s="3">
        <v>0.6</v>
      </c>
      <c r="B16" s="3">
        <v>0.12</v>
      </c>
      <c r="C16" s="3">
        <v>6</v>
      </c>
      <c r="D16" s="5">
        <v>1</v>
      </c>
      <c r="E16" s="5">
        <f>(C16+0.45+1.2)</f>
        <v>7.65</v>
      </c>
      <c r="F16" s="5">
        <v>0.5</v>
      </c>
      <c r="G16" s="5">
        <f>ROUND((D16-F16)*0.3*9.81,2)</f>
        <v>1.47</v>
      </c>
      <c r="H16" s="5">
        <v>2.2000000000000002</v>
      </c>
      <c r="I16" s="5">
        <v>8.25</v>
      </c>
      <c r="J16" s="5">
        <f>(I16-H16)</f>
        <v>6.05</v>
      </c>
      <c r="K16" s="3">
        <f>ROUND((18.75*47*(J16)^(3/2))*10^-6,5)</f>
        <v>1.311E-2</v>
      </c>
      <c r="L16" s="3">
        <f>(9.81*1000*K16*E16)</f>
        <v>983.85961500000019</v>
      </c>
      <c r="M16" s="3">
        <f>ROUND(((2*3.14*1000*G16)/60),2)</f>
        <v>153.86000000000001</v>
      </c>
      <c r="N16" s="3">
        <f>ROUND((M16/L16)*100,2)</f>
        <v>15.64</v>
      </c>
    </row>
    <row r="17" spans="1:15">
      <c r="A17" s="3">
        <v>0.8</v>
      </c>
      <c r="B17" s="3">
        <v>0.12</v>
      </c>
      <c r="C17" s="3">
        <v>8</v>
      </c>
      <c r="D17" s="3">
        <v>3</v>
      </c>
      <c r="E17" s="5">
        <f t="shared" ref="E17:E22" si="7">(C17+0.45+1.2)</f>
        <v>9.6499999999999986</v>
      </c>
      <c r="F17" s="3">
        <v>1.5</v>
      </c>
      <c r="G17" s="5">
        <f t="shared" ref="G17:G22" si="8">ROUND((D17-F17)*0.3*9.81,2)</f>
        <v>4.41</v>
      </c>
      <c r="H17" s="5">
        <v>2.2000000000000002</v>
      </c>
      <c r="I17" s="5">
        <v>9.25</v>
      </c>
      <c r="J17" s="5">
        <f t="shared" ref="J17:J22" si="9">(I17-H17)</f>
        <v>7.05</v>
      </c>
      <c r="K17" s="3">
        <f t="shared" ref="K17:K22" si="10">ROUND((18.75*47*(J17)^(3/2))*10^-6,5)</f>
        <v>1.6500000000000001E-2</v>
      </c>
      <c r="L17" s="3">
        <f t="shared" ref="L17:L21" si="11">(9.81*1000*K17*E17)</f>
        <v>1561.9972499999999</v>
      </c>
      <c r="M17" s="3">
        <f t="shared" ref="M17:M22" si="12">ROUND(((2*3.14*1000*G17)/60),2)</f>
        <v>461.58</v>
      </c>
      <c r="N17" s="3">
        <f t="shared" ref="N17:N22" si="13">ROUND((M17/L17)*100,2)</f>
        <v>29.55</v>
      </c>
    </row>
    <row r="18" spans="1:15">
      <c r="A18" s="3">
        <v>1</v>
      </c>
      <c r="B18" s="3">
        <v>0.12</v>
      </c>
      <c r="C18" s="3">
        <v>10</v>
      </c>
      <c r="D18" s="3">
        <v>5</v>
      </c>
      <c r="E18" s="5">
        <f t="shared" si="7"/>
        <v>11.649999999999999</v>
      </c>
      <c r="F18" s="3">
        <v>2.5</v>
      </c>
      <c r="G18" s="5">
        <f t="shared" si="8"/>
        <v>7.36</v>
      </c>
      <c r="H18" s="5">
        <v>2.2000000000000002</v>
      </c>
      <c r="I18" s="5">
        <v>10.050000000000001</v>
      </c>
      <c r="J18" s="5">
        <f t="shared" si="9"/>
        <v>7.8500000000000005</v>
      </c>
      <c r="K18" s="3">
        <f t="shared" si="10"/>
        <v>1.9380000000000001E-2</v>
      </c>
      <c r="L18" s="3">
        <f t="shared" si="11"/>
        <v>2214.87237</v>
      </c>
      <c r="M18" s="3">
        <f t="shared" si="12"/>
        <v>770.35</v>
      </c>
      <c r="N18" s="3">
        <f t="shared" si="13"/>
        <v>34.78</v>
      </c>
    </row>
    <row r="19" spans="1:15">
      <c r="A19" s="3">
        <v>1.2</v>
      </c>
      <c r="B19" s="3">
        <v>0.12</v>
      </c>
      <c r="C19" s="3">
        <v>12</v>
      </c>
      <c r="D19" s="3">
        <v>7</v>
      </c>
      <c r="E19" s="5">
        <f t="shared" si="7"/>
        <v>13.649999999999999</v>
      </c>
      <c r="F19" s="3">
        <v>3.5</v>
      </c>
      <c r="G19" s="5">
        <f t="shared" si="8"/>
        <v>10.3</v>
      </c>
      <c r="H19" s="5">
        <v>2.2000000000000002</v>
      </c>
      <c r="I19" s="5">
        <v>10.46</v>
      </c>
      <c r="J19" s="5">
        <f t="shared" si="9"/>
        <v>8.2600000000000016</v>
      </c>
      <c r="K19" s="3">
        <f t="shared" si="10"/>
        <v>2.0920000000000001E-2</v>
      </c>
      <c r="L19" s="3">
        <f t="shared" si="11"/>
        <v>2801.3239799999997</v>
      </c>
      <c r="M19" s="3">
        <f t="shared" si="12"/>
        <v>1078.07</v>
      </c>
      <c r="N19" s="3">
        <f t="shared" si="13"/>
        <v>38.479999999999997</v>
      </c>
    </row>
    <row r="20" spans="1:15">
      <c r="A20" s="3">
        <v>1.3</v>
      </c>
      <c r="B20" s="3">
        <v>0.12</v>
      </c>
      <c r="C20" s="3">
        <v>13</v>
      </c>
      <c r="D20" s="3">
        <v>9</v>
      </c>
      <c r="E20" s="5">
        <f t="shared" si="7"/>
        <v>14.649999999999999</v>
      </c>
      <c r="F20" s="3">
        <v>4.5</v>
      </c>
      <c r="G20" s="5">
        <f t="shared" si="8"/>
        <v>13.24</v>
      </c>
      <c r="H20" s="5">
        <v>2.2000000000000002</v>
      </c>
      <c r="I20" s="5">
        <v>10.91</v>
      </c>
      <c r="J20" s="5">
        <f t="shared" si="9"/>
        <v>8.7100000000000009</v>
      </c>
      <c r="K20" s="3">
        <f t="shared" si="10"/>
        <v>2.265E-2</v>
      </c>
      <c r="L20" s="3">
        <f t="shared" si="11"/>
        <v>3255.1787249999993</v>
      </c>
      <c r="M20" s="3">
        <f t="shared" si="12"/>
        <v>1385.79</v>
      </c>
      <c r="N20" s="3">
        <f t="shared" si="13"/>
        <v>42.57</v>
      </c>
      <c r="O20" s="1"/>
    </row>
    <row r="21" spans="1:15">
      <c r="A21" s="3">
        <v>1.4</v>
      </c>
      <c r="B21" s="3">
        <v>0.12</v>
      </c>
      <c r="C21" s="3">
        <v>14</v>
      </c>
      <c r="D21" s="3">
        <v>10</v>
      </c>
      <c r="E21" s="5">
        <f t="shared" si="7"/>
        <v>15.649999999999999</v>
      </c>
      <c r="F21" s="3">
        <v>5</v>
      </c>
      <c r="G21" s="5">
        <f t="shared" si="8"/>
        <v>14.72</v>
      </c>
      <c r="H21" s="5">
        <v>2.2000000000000002</v>
      </c>
      <c r="I21" s="5">
        <v>11.01</v>
      </c>
      <c r="J21" s="5">
        <f t="shared" si="9"/>
        <v>8.8099999999999987</v>
      </c>
      <c r="K21" s="3">
        <f t="shared" si="10"/>
        <v>2.3040000000000001E-2</v>
      </c>
      <c r="L21" s="3">
        <f t="shared" si="11"/>
        <v>3537.25056</v>
      </c>
      <c r="M21" s="3">
        <f t="shared" si="12"/>
        <v>1540.69</v>
      </c>
      <c r="N21" s="3">
        <f t="shared" si="13"/>
        <v>43.56</v>
      </c>
      <c r="O21" s="1"/>
    </row>
    <row r="22" spans="1:15">
      <c r="A22" s="3">
        <v>1.5</v>
      </c>
      <c r="B22" s="3">
        <v>0.12</v>
      </c>
      <c r="C22" s="3">
        <v>15</v>
      </c>
      <c r="D22" s="3">
        <v>11</v>
      </c>
      <c r="E22" s="5">
        <f t="shared" si="7"/>
        <v>16.649999999999999</v>
      </c>
      <c r="F22" s="3">
        <v>5.5</v>
      </c>
      <c r="G22" s="5">
        <f t="shared" si="8"/>
        <v>16.190000000000001</v>
      </c>
      <c r="H22" s="5">
        <v>2.2000000000000002</v>
      </c>
      <c r="I22" s="4">
        <v>11.15</v>
      </c>
      <c r="J22" s="5">
        <f t="shared" si="9"/>
        <v>8.9499999999999993</v>
      </c>
      <c r="K22" s="3">
        <f t="shared" si="10"/>
        <v>2.3599999999999999E-2</v>
      </c>
      <c r="L22" s="3">
        <f>(9.81*1000*K22*E22)</f>
        <v>3854.7413999999994</v>
      </c>
      <c r="M22" s="3">
        <f t="shared" si="12"/>
        <v>1694.55</v>
      </c>
      <c r="N22" s="3">
        <f t="shared" si="13"/>
        <v>43.96</v>
      </c>
      <c r="O22" s="1"/>
    </row>
    <row r="23" spans="1:15">
      <c r="A23" s="1"/>
      <c r="B23" s="1"/>
      <c r="C23" s="1"/>
      <c r="D23" s="1"/>
      <c r="E23" s="8"/>
      <c r="F23" s="1"/>
      <c r="G23" s="1"/>
      <c r="H23" s="8"/>
      <c r="I23" s="7"/>
      <c r="J23" s="31"/>
      <c r="K23" s="1"/>
      <c r="L23" s="1"/>
      <c r="M23" s="1"/>
      <c r="N23" s="32">
        <f>SUM(N16:N22)/7</f>
        <v>35.505714285714284</v>
      </c>
      <c r="O23" s="1"/>
    </row>
    <row r="24" spans="1:15">
      <c r="J24" s="14"/>
      <c r="N24" s="21"/>
      <c r="O24" s="1"/>
    </row>
    <row r="26" spans="1: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51" t="s">
        <v>31</v>
      </c>
      <c r="B27" s="52"/>
      <c r="C27" s="52"/>
      <c r="D27" s="52"/>
      <c r="E27" s="52"/>
      <c r="F27" s="52"/>
      <c r="G27" s="53"/>
      <c r="H27" s="54" t="s">
        <v>2</v>
      </c>
      <c r="I27" s="54"/>
      <c r="J27" s="54"/>
      <c r="K27" s="15"/>
      <c r="L27" s="15"/>
      <c r="M27" s="15"/>
      <c r="N27" s="15"/>
      <c r="O27" s="14"/>
    </row>
    <row r="28" spans="1:15" ht="38.25">
      <c r="A28" s="16" t="s">
        <v>23</v>
      </c>
      <c r="B28" s="16" t="s">
        <v>33</v>
      </c>
      <c r="C28" s="16" t="s">
        <v>26</v>
      </c>
      <c r="D28" s="15" t="s">
        <v>15</v>
      </c>
      <c r="E28" s="15" t="s">
        <v>20</v>
      </c>
      <c r="F28" s="15" t="s">
        <v>14</v>
      </c>
      <c r="G28" s="15" t="s">
        <v>16</v>
      </c>
      <c r="H28" s="13" t="s">
        <v>3</v>
      </c>
      <c r="I28" s="13" t="s">
        <v>4</v>
      </c>
      <c r="J28" s="13" t="s">
        <v>13</v>
      </c>
      <c r="K28" s="13" t="s">
        <v>29</v>
      </c>
      <c r="L28" s="17" t="s">
        <v>19</v>
      </c>
      <c r="M28" s="17" t="s">
        <v>18</v>
      </c>
      <c r="N28" s="17" t="s">
        <v>17</v>
      </c>
      <c r="O28" s="14"/>
    </row>
    <row r="29" spans="1:15">
      <c r="A29" s="15">
        <v>0.5</v>
      </c>
      <c r="B29" s="15">
        <v>0.11</v>
      </c>
      <c r="C29" s="15">
        <v>6</v>
      </c>
      <c r="D29" s="18">
        <v>1</v>
      </c>
      <c r="E29" s="18">
        <f>(C29+0.45+1.1)</f>
        <v>7.5500000000000007</v>
      </c>
      <c r="F29" s="18">
        <v>0.5</v>
      </c>
      <c r="G29" s="18">
        <f>ROUND((D29-F29)*0.15*9.81,2)</f>
        <v>0.74</v>
      </c>
      <c r="H29" s="18">
        <v>2.2000000000000002</v>
      </c>
      <c r="I29" s="18">
        <v>6.9</v>
      </c>
      <c r="J29" s="18">
        <f>(I29-H29)</f>
        <v>4.7</v>
      </c>
      <c r="K29" s="15">
        <f>ROUND((18.75*47*(J29)^(3/2))*10^-6,5)</f>
        <v>8.9800000000000001E-3</v>
      </c>
      <c r="L29" s="15">
        <f>(9.81*1000*K29*E29)</f>
        <v>665.10819000000004</v>
      </c>
      <c r="M29" s="15">
        <f>ROUND(((2*3.14*950*G29)/60),2)</f>
        <v>73.58</v>
      </c>
      <c r="N29" s="15">
        <f>ROUND((M29/L29)*100,2)</f>
        <v>11.06</v>
      </c>
      <c r="O29" s="14"/>
    </row>
    <row r="30" spans="1:15">
      <c r="A30" s="15">
        <v>0.6</v>
      </c>
      <c r="B30" s="15">
        <v>0.11</v>
      </c>
      <c r="C30" s="15">
        <v>7</v>
      </c>
      <c r="D30" s="15">
        <v>3</v>
      </c>
      <c r="E30" s="18">
        <f t="shared" ref="E30:E35" si="14">(C30+0.45+1.1)</f>
        <v>8.5500000000000007</v>
      </c>
      <c r="F30" s="15">
        <v>0.7</v>
      </c>
      <c r="G30" s="15">
        <f t="shared" ref="G30:G35" si="15">ROUND((D30-F30)*0.15*9.81,2)</f>
        <v>3.38</v>
      </c>
      <c r="H30" s="18">
        <v>2.2000000000000002</v>
      </c>
      <c r="I30" s="18">
        <v>8</v>
      </c>
      <c r="J30" s="18">
        <f t="shared" ref="J30:J35" si="16">(I30-H30)</f>
        <v>5.8</v>
      </c>
      <c r="K30" s="15">
        <f t="shared" ref="K30:K35" si="17">ROUND((18.75*47*(J30)^(3/2))*10^-6,5)</f>
        <v>1.231E-2</v>
      </c>
      <c r="L30" s="15">
        <f t="shared" ref="L30:L34" si="18">(9.81*1000*K30*E30)</f>
        <v>1032.5074050000001</v>
      </c>
      <c r="M30" s="15">
        <f t="shared" ref="M30:M35" si="19">ROUND(((2*3.14*950*G30)/60),2)</f>
        <v>336.08</v>
      </c>
      <c r="N30" s="15">
        <f t="shared" ref="N30:N35" si="20">ROUND((M30/L30)*100,2)</f>
        <v>32.549999999999997</v>
      </c>
      <c r="O30" s="14"/>
    </row>
    <row r="31" spans="1:15">
      <c r="A31" s="15">
        <v>0.7</v>
      </c>
      <c r="B31" s="15">
        <v>0.11</v>
      </c>
      <c r="C31" s="15">
        <v>9</v>
      </c>
      <c r="D31" s="15">
        <v>5</v>
      </c>
      <c r="E31" s="18">
        <f t="shared" si="14"/>
        <v>10.549999999999999</v>
      </c>
      <c r="F31" s="15">
        <v>0.9</v>
      </c>
      <c r="G31" s="15">
        <f t="shared" si="15"/>
        <v>6.03</v>
      </c>
      <c r="H31" s="18">
        <v>2.2000000000000002</v>
      </c>
      <c r="I31" s="18">
        <v>8.64</v>
      </c>
      <c r="J31" s="18">
        <f t="shared" si="16"/>
        <v>6.44</v>
      </c>
      <c r="K31" s="15">
        <f t="shared" si="17"/>
        <v>1.44E-2</v>
      </c>
      <c r="L31" s="15">
        <f t="shared" si="18"/>
        <v>1490.3352</v>
      </c>
      <c r="M31" s="15">
        <f t="shared" si="19"/>
        <v>599.58000000000004</v>
      </c>
      <c r="N31" s="15">
        <f t="shared" si="20"/>
        <v>40.229999999999997</v>
      </c>
      <c r="O31" s="14"/>
    </row>
    <row r="32" spans="1:15">
      <c r="A32" s="15">
        <v>0.9</v>
      </c>
      <c r="B32" s="15">
        <v>0.11</v>
      </c>
      <c r="C32" s="15">
        <v>11</v>
      </c>
      <c r="D32" s="15">
        <v>7</v>
      </c>
      <c r="E32" s="18">
        <f t="shared" si="14"/>
        <v>12.549999999999999</v>
      </c>
      <c r="F32" s="15">
        <v>1.3</v>
      </c>
      <c r="G32" s="15">
        <f t="shared" si="15"/>
        <v>8.39</v>
      </c>
      <c r="H32" s="18">
        <v>2.2000000000000002</v>
      </c>
      <c r="I32" s="18">
        <v>9.98</v>
      </c>
      <c r="J32" s="18">
        <f t="shared" si="16"/>
        <v>7.78</v>
      </c>
      <c r="K32" s="15">
        <f t="shared" si="17"/>
        <v>1.9120000000000002E-2</v>
      </c>
      <c r="L32" s="15">
        <f t="shared" si="18"/>
        <v>2353.9683599999998</v>
      </c>
      <c r="M32" s="15">
        <f t="shared" si="19"/>
        <v>834.25</v>
      </c>
      <c r="N32" s="15">
        <f t="shared" si="20"/>
        <v>35.44</v>
      </c>
      <c r="O32" s="14"/>
    </row>
    <row r="33" spans="1:15">
      <c r="A33" s="15">
        <v>1.1000000000000001</v>
      </c>
      <c r="B33" s="15">
        <v>0.11</v>
      </c>
      <c r="C33" s="15">
        <v>12</v>
      </c>
      <c r="D33" s="15">
        <v>9</v>
      </c>
      <c r="E33" s="18">
        <f t="shared" si="14"/>
        <v>13.549999999999999</v>
      </c>
      <c r="F33" s="15">
        <v>1.9</v>
      </c>
      <c r="G33" s="15">
        <f t="shared" si="15"/>
        <v>10.45</v>
      </c>
      <c r="H33" s="18">
        <v>2.2000000000000002</v>
      </c>
      <c r="I33" s="18">
        <v>10.57</v>
      </c>
      <c r="J33" s="18">
        <f t="shared" si="16"/>
        <v>8.370000000000001</v>
      </c>
      <c r="K33" s="15">
        <f t="shared" si="17"/>
        <v>2.1340000000000001E-2</v>
      </c>
      <c r="L33" s="15">
        <f t="shared" si="18"/>
        <v>2836.6301699999999</v>
      </c>
      <c r="M33" s="15">
        <f t="shared" si="19"/>
        <v>1039.08</v>
      </c>
      <c r="N33" s="15">
        <f t="shared" si="20"/>
        <v>36.630000000000003</v>
      </c>
      <c r="O33" s="19"/>
    </row>
    <row r="34" spans="1:15">
      <c r="A34" s="15">
        <v>1.3</v>
      </c>
      <c r="B34" s="15">
        <v>0.11</v>
      </c>
      <c r="C34" s="15">
        <v>13</v>
      </c>
      <c r="D34" s="15">
        <v>10</v>
      </c>
      <c r="E34" s="18">
        <f t="shared" si="14"/>
        <v>14.549999999999999</v>
      </c>
      <c r="F34" s="15">
        <v>3</v>
      </c>
      <c r="G34" s="15">
        <f t="shared" si="15"/>
        <v>10.3</v>
      </c>
      <c r="H34" s="18">
        <v>2.2000000000000002</v>
      </c>
      <c r="I34" s="18">
        <v>11.63</v>
      </c>
      <c r="J34" s="18">
        <f t="shared" si="16"/>
        <v>9.43</v>
      </c>
      <c r="K34" s="15">
        <f t="shared" si="17"/>
        <v>2.5520000000000001E-2</v>
      </c>
      <c r="L34" s="15">
        <f t="shared" si="18"/>
        <v>3642.6099599999998</v>
      </c>
      <c r="M34" s="15">
        <f t="shared" si="19"/>
        <v>1024.1600000000001</v>
      </c>
      <c r="N34" s="15">
        <f t="shared" si="20"/>
        <v>28.12</v>
      </c>
      <c r="O34" s="19"/>
    </row>
    <row r="35" spans="1:15">
      <c r="A35" s="15">
        <v>1.5</v>
      </c>
      <c r="B35" s="15">
        <v>0.11</v>
      </c>
      <c r="C35" s="15">
        <v>14</v>
      </c>
      <c r="D35" s="15">
        <v>11</v>
      </c>
      <c r="E35" s="18">
        <f t="shared" si="14"/>
        <v>15.549999999999999</v>
      </c>
      <c r="F35" s="15">
        <v>3.8</v>
      </c>
      <c r="G35" s="15">
        <f t="shared" si="15"/>
        <v>10.59</v>
      </c>
      <c r="H35" s="18">
        <v>2.2000000000000002</v>
      </c>
      <c r="I35" s="13">
        <v>12.82</v>
      </c>
      <c r="J35" s="18">
        <f t="shared" si="16"/>
        <v>10.620000000000001</v>
      </c>
      <c r="K35" s="15">
        <f t="shared" si="17"/>
        <v>3.0499999999999999E-2</v>
      </c>
      <c r="L35" s="15">
        <f>(9.81*1000*K35*E35)</f>
        <v>4652.6377499999999</v>
      </c>
      <c r="M35" s="15">
        <f t="shared" si="19"/>
        <v>1053</v>
      </c>
      <c r="N35" s="15">
        <f t="shared" si="20"/>
        <v>22.63</v>
      </c>
      <c r="O35" s="19"/>
    </row>
    <row r="36" spans="1:15">
      <c r="A36" s="19"/>
      <c r="B36" s="19"/>
      <c r="C36" s="19"/>
      <c r="D36" s="19"/>
      <c r="E36" s="35"/>
      <c r="F36" s="19"/>
      <c r="G36" s="19"/>
      <c r="H36" s="35"/>
      <c r="I36" s="31"/>
      <c r="J36" s="31"/>
      <c r="K36" s="19"/>
      <c r="L36" s="19"/>
      <c r="M36" s="19"/>
      <c r="N36" s="36">
        <f>SUM(N29:N35)/7</f>
        <v>29.522857142857141</v>
      </c>
      <c r="O36" s="19"/>
    </row>
    <row r="38" spans="1:15">
      <c r="A38" s="49" t="s">
        <v>32</v>
      </c>
      <c r="B38" s="50"/>
      <c r="C38" s="41"/>
      <c r="D38" s="41"/>
      <c r="E38" s="41"/>
      <c r="F38" s="41"/>
      <c r="G38" s="42"/>
      <c r="H38" s="43" t="s">
        <v>2</v>
      </c>
      <c r="I38" s="43"/>
      <c r="J38" s="43"/>
      <c r="K38" s="3"/>
      <c r="L38" s="3"/>
      <c r="M38" s="3"/>
      <c r="N38" s="3"/>
    </row>
    <row r="39" spans="1:15" ht="38.25">
      <c r="A39" s="6" t="s">
        <v>23</v>
      </c>
      <c r="B39" s="29" t="s">
        <v>33</v>
      </c>
      <c r="C39" s="6" t="s">
        <v>26</v>
      </c>
      <c r="D39" s="29" t="s">
        <v>35</v>
      </c>
      <c r="E39" s="6" t="s">
        <v>20</v>
      </c>
      <c r="F39" s="6" t="s">
        <v>14</v>
      </c>
      <c r="G39" s="6" t="s">
        <v>16</v>
      </c>
      <c r="H39" s="6" t="s">
        <v>3</v>
      </c>
      <c r="I39" s="6" t="s">
        <v>4</v>
      </c>
      <c r="J39" s="6" t="s">
        <v>13</v>
      </c>
      <c r="K39" s="29" t="s">
        <v>29</v>
      </c>
      <c r="L39" s="34" t="s">
        <v>19</v>
      </c>
      <c r="M39" s="28" t="s">
        <v>18</v>
      </c>
      <c r="N39" s="28" t="s">
        <v>17</v>
      </c>
    </row>
    <row r="40" spans="1:15">
      <c r="A40" s="3">
        <v>0.45</v>
      </c>
      <c r="B40" s="3">
        <v>0.12</v>
      </c>
      <c r="C40" s="3">
        <v>4.5</v>
      </c>
      <c r="D40" s="5">
        <v>1</v>
      </c>
      <c r="E40" s="5">
        <f>(C40+1.2+0.45)</f>
        <v>6.15</v>
      </c>
      <c r="F40" s="5">
        <v>0.4</v>
      </c>
      <c r="G40" s="5">
        <f>ROUND((D40-F40)*0.15*9.81,2)</f>
        <v>0.88</v>
      </c>
      <c r="H40" s="5">
        <v>2.5</v>
      </c>
      <c r="I40" s="5">
        <v>6.2</v>
      </c>
      <c r="J40" s="5">
        <f>(I40-H40)</f>
        <v>3.7</v>
      </c>
      <c r="K40" s="3">
        <f>ROUND((18.75*47*(J40)^(3/2))*10^-6,5)</f>
        <v>6.2700000000000004E-3</v>
      </c>
      <c r="L40" s="3">
        <f>(9.81*1000*K40*E40)</f>
        <v>378.27850500000005</v>
      </c>
      <c r="M40" s="3">
        <f>ROUND(((2*3.14*900*G40)/60),2)</f>
        <v>82.9</v>
      </c>
      <c r="N40" s="3">
        <f>ROUND((M40/L40)*100,2)</f>
        <v>21.92</v>
      </c>
    </row>
    <row r="41" spans="1:15">
      <c r="A41" s="3">
        <v>0.55000000000000004</v>
      </c>
      <c r="B41" s="3">
        <v>0.12</v>
      </c>
      <c r="C41" s="3">
        <v>5.5</v>
      </c>
      <c r="D41" s="3">
        <v>2</v>
      </c>
      <c r="E41" s="5">
        <f t="shared" ref="E41:E43" si="21">(C41+1.2+0.45)</f>
        <v>7.15</v>
      </c>
      <c r="F41" s="3">
        <v>0.6</v>
      </c>
      <c r="G41" s="3">
        <f t="shared" ref="G41:G46" si="22">ROUND((D41-F41)*0.15*9.81,2)</f>
        <v>2.06</v>
      </c>
      <c r="H41" s="5">
        <v>2.5</v>
      </c>
      <c r="I41" s="5">
        <v>7.6</v>
      </c>
      <c r="J41" s="5">
        <f t="shared" ref="J41:J46" si="23">(I41-H41)</f>
        <v>5.0999999999999996</v>
      </c>
      <c r="K41" s="3">
        <f t="shared" ref="K41:K46" si="24">ROUND((18.75*47*(J41)^(3/2))*10^-6,5)</f>
        <v>1.0149999999999999E-2</v>
      </c>
      <c r="L41" s="3">
        <f>(9.81*1000*K41*E41)</f>
        <v>711.93622499999992</v>
      </c>
      <c r="M41" s="3">
        <f t="shared" ref="M41:M46" si="25">ROUND(((2*3.14*900*G41)/60),2)</f>
        <v>194.05</v>
      </c>
      <c r="N41" s="3">
        <f t="shared" ref="N41:N46" si="26">ROUND((M41/L41)*100,2)</f>
        <v>27.26</v>
      </c>
    </row>
    <row r="42" spans="1:15">
      <c r="A42" s="3">
        <v>0.65</v>
      </c>
      <c r="B42" s="3">
        <v>0.12</v>
      </c>
      <c r="C42" s="3">
        <v>6.5</v>
      </c>
      <c r="D42" s="5">
        <v>3</v>
      </c>
      <c r="E42" s="5">
        <f t="shared" si="21"/>
        <v>8.15</v>
      </c>
      <c r="F42" s="3">
        <v>0.9</v>
      </c>
      <c r="G42" s="3">
        <f t="shared" si="22"/>
        <v>3.09</v>
      </c>
      <c r="H42" s="5">
        <v>2.5</v>
      </c>
      <c r="I42" s="5">
        <v>8.8000000000000007</v>
      </c>
      <c r="J42" s="5">
        <f t="shared" si="23"/>
        <v>6.3000000000000007</v>
      </c>
      <c r="K42" s="3">
        <f t="shared" si="24"/>
        <v>1.3939999999999999E-2</v>
      </c>
      <c r="L42" s="3">
        <f t="shared" ref="L42:L45" si="27">(9.81*1000*K42*E42)</f>
        <v>1114.5239099999999</v>
      </c>
      <c r="M42" s="3">
        <f t="shared" si="25"/>
        <v>291.08</v>
      </c>
      <c r="N42" s="3">
        <f t="shared" si="26"/>
        <v>26.12</v>
      </c>
    </row>
    <row r="43" spans="1:15">
      <c r="A43" s="3">
        <v>0.7</v>
      </c>
      <c r="B43" s="3">
        <v>0.12</v>
      </c>
      <c r="C43" s="3">
        <v>7.5</v>
      </c>
      <c r="D43" s="3">
        <v>4</v>
      </c>
      <c r="E43" s="5">
        <f t="shared" si="21"/>
        <v>9.1499999999999986</v>
      </c>
      <c r="F43" s="3">
        <v>1.5</v>
      </c>
      <c r="G43" s="3">
        <f t="shared" si="22"/>
        <v>3.68</v>
      </c>
      <c r="H43" s="5">
        <v>2.5</v>
      </c>
      <c r="I43" s="5">
        <v>9.5</v>
      </c>
      <c r="J43" s="5">
        <f t="shared" si="23"/>
        <v>7</v>
      </c>
      <c r="K43" s="3">
        <f t="shared" si="24"/>
        <v>1.6320000000000001E-2</v>
      </c>
      <c r="L43" s="3">
        <f t="shared" si="27"/>
        <v>1464.90768</v>
      </c>
      <c r="M43" s="3">
        <f t="shared" si="25"/>
        <v>346.66</v>
      </c>
      <c r="N43" s="3">
        <f t="shared" si="26"/>
        <v>23.66</v>
      </c>
    </row>
    <row r="44" spans="1:15">
      <c r="A44" s="3">
        <v>0.8</v>
      </c>
      <c r="B44" s="3">
        <v>0.11</v>
      </c>
      <c r="C44" s="3">
        <v>8.5</v>
      </c>
      <c r="D44" s="5">
        <v>5</v>
      </c>
      <c r="E44" s="5">
        <f>(C44+1.1+0.45)</f>
        <v>10.049999999999999</v>
      </c>
      <c r="F44" s="3">
        <v>1.9</v>
      </c>
      <c r="G44" s="3">
        <f t="shared" si="22"/>
        <v>4.5599999999999996</v>
      </c>
      <c r="H44" s="5">
        <v>2.5</v>
      </c>
      <c r="I44" s="5">
        <v>9.94</v>
      </c>
      <c r="J44" s="5">
        <f t="shared" si="23"/>
        <v>7.4399999999999995</v>
      </c>
      <c r="K44" s="3">
        <f t="shared" si="24"/>
        <v>1.788E-2</v>
      </c>
      <c r="L44" s="3">
        <f t="shared" si="27"/>
        <v>1762.7981399999999</v>
      </c>
      <c r="M44" s="3">
        <f t="shared" si="25"/>
        <v>429.55</v>
      </c>
      <c r="N44" s="3">
        <f t="shared" si="26"/>
        <v>24.37</v>
      </c>
      <c r="O44" s="1"/>
    </row>
    <row r="45" spans="1:15">
      <c r="A45" s="3">
        <v>0.9</v>
      </c>
      <c r="B45" s="3">
        <v>0.1</v>
      </c>
      <c r="C45" s="3">
        <v>9.5</v>
      </c>
      <c r="D45" s="3">
        <v>6</v>
      </c>
      <c r="E45" s="5">
        <f>(C45+1+0.45)</f>
        <v>10.95</v>
      </c>
      <c r="F45" s="3">
        <v>2.6</v>
      </c>
      <c r="G45" s="3">
        <f t="shared" si="22"/>
        <v>5</v>
      </c>
      <c r="H45" s="5">
        <v>2.5</v>
      </c>
      <c r="I45" s="5">
        <v>10.199999999999999</v>
      </c>
      <c r="J45" s="5">
        <f t="shared" si="23"/>
        <v>7.6999999999999993</v>
      </c>
      <c r="K45" s="3">
        <f t="shared" si="24"/>
        <v>1.883E-2</v>
      </c>
      <c r="L45" s="3">
        <f t="shared" si="27"/>
        <v>2022.7091849999997</v>
      </c>
      <c r="M45" s="3">
        <f t="shared" si="25"/>
        <v>471</v>
      </c>
      <c r="N45" s="3">
        <f t="shared" si="26"/>
        <v>23.29</v>
      </c>
      <c r="O45" s="1"/>
    </row>
    <row r="46" spans="1:15">
      <c r="A46" s="3">
        <v>1</v>
      </c>
      <c r="B46" s="3">
        <v>0.1</v>
      </c>
      <c r="C46" s="3">
        <v>10.5</v>
      </c>
      <c r="D46" s="5">
        <v>7</v>
      </c>
      <c r="E46" s="5">
        <f>(C46+1+0.45)</f>
        <v>11.95</v>
      </c>
      <c r="F46" s="3">
        <v>3.1</v>
      </c>
      <c r="G46" s="3">
        <f t="shared" si="22"/>
        <v>5.74</v>
      </c>
      <c r="H46" s="5">
        <v>2.5</v>
      </c>
      <c r="I46" s="4">
        <v>10.95</v>
      </c>
      <c r="J46" s="5">
        <f t="shared" si="23"/>
        <v>8.4499999999999993</v>
      </c>
      <c r="K46" s="3">
        <f t="shared" si="24"/>
        <v>2.1649999999999999E-2</v>
      </c>
      <c r="L46" s="3">
        <f>(9.81*1000*K46*E46)</f>
        <v>2538.0186749999998</v>
      </c>
      <c r="M46" s="3">
        <f t="shared" si="25"/>
        <v>540.71</v>
      </c>
      <c r="N46" s="3">
        <f t="shared" si="26"/>
        <v>21.3</v>
      </c>
      <c r="O46" s="1"/>
    </row>
    <row r="47" spans="1:15">
      <c r="A47" s="1"/>
      <c r="B47" s="1"/>
      <c r="C47" s="1"/>
      <c r="D47" s="1"/>
      <c r="E47" s="8"/>
      <c r="F47" s="1"/>
      <c r="G47" s="1"/>
      <c r="H47" s="8"/>
      <c r="I47" s="7"/>
      <c r="J47" s="31"/>
      <c r="K47" s="1"/>
      <c r="L47" s="1"/>
      <c r="M47" s="1"/>
      <c r="N47" s="32">
        <f>SUM(N40:N46)/7</f>
        <v>23.988571428571429</v>
      </c>
      <c r="O47" s="1"/>
    </row>
    <row r="48" spans="1:15">
      <c r="J48" s="14"/>
      <c r="N48" s="21"/>
      <c r="O48" s="1"/>
    </row>
    <row r="50" spans="1:15">
      <c r="A50" s="49" t="s">
        <v>34</v>
      </c>
      <c r="B50" s="50"/>
      <c r="C50" s="41"/>
      <c r="D50" s="41"/>
      <c r="E50" s="41"/>
      <c r="F50" s="41"/>
      <c r="G50" s="42"/>
      <c r="H50" s="43" t="s">
        <v>2</v>
      </c>
      <c r="I50" s="43"/>
      <c r="J50" s="43"/>
      <c r="K50" s="3"/>
      <c r="L50" s="3"/>
      <c r="M50" s="3"/>
      <c r="N50" s="3"/>
    </row>
    <row r="51" spans="1:15" ht="38.25">
      <c r="A51" s="6" t="s">
        <v>23</v>
      </c>
      <c r="B51" s="29" t="s">
        <v>33</v>
      </c>
      <c r="C51" s="6" t="s">
        <v>26</v>
      </c>
      <c r="D51" s="3" t="s">
        <v>15</v>
      </c>
      <c r="E51" s="3" t="s">
        <v>20</v>
      </c>
      <c r="F51" s="3" t="s">
        <v>14</v>
      </c>
      <c r="G51" s="3" t="s">
        <v>16</v>
      </c>
      <c r="H51" s="4" t="s">
        <v>3</v>
      </c>
      <c r="I51" s="4" t="s">
        <v>4</v>
      </c>
      <c r="J51" s="4" t="s">
        <v>13</v>
      </c>
      <c r="K51" s="30" t="s">
        <v>29</v>
      </c>
      <c r="L51" s="33" t="s">
        <v>19</v>
      </c>
      <c r="M51" s="9" t="s">
        <v>18</v>
      </c>
      <c r="N51" s="9" t="s">
        <v>17</v>
      </c>
    </row>
    <row r="52" spans="1:15">
      <c r="A52" s="3">
        <v>0.6</v>
      </c>
      <c r="B52" s="3">
        <v>0.1</v>
      </c>
      <c r="C52" s="3">
        <v>6</v>
      </c>
      <c r="D52" s="5">
        <v>1</v>
      </c>
      <c r="E52" s="5">
        <v>7.35</v>
      </c>
      <c r="F52" s="5">
        <v>0.5</v>
      </c>
      <c r="G52" s="5">
        <f>ROUND((D52-F52)*0.15*9.81,2)</f>
        <v>0.74</v>
      </c>
      <c r="H52" s="5">
        <v>2.6</v>
      </c>
      <c r="I52" s="5">
        <v>6.1</v>
      </c>
      <c r="J52" s="5">
        <f>(I52-H52)</f>
        <v>3.4999999999999996</v>
      </c>
      <c r="K52" s="3">
        <f>ROUND((18.75*47*(J52)^(3/2))*10^-6,5)</f>
        <v>5.77E-3</v>
      </c>
      <c r="L52" s="3">
        <f>(9.81*1000*K52*E52)</f>
        <v>416.03719499999994</v>
      </c>
      <c r="M52" s="3">
        <f>ROUND(((2*3.14*850*G52)/60),2)</f>
        <v>65.84</v>
      </c>
      <c r="N52" s="3">
        <f>ROUND((M52/L52)*100,2)</f>
        <v>15.83</v>
      </c>
    </row>
    <row r="53" spans="1:15">
      <c r="A53" s="3">
        <v>0.7</v>
      </c>
      <c r="B53" s="3">
        <v>0.1</v>
      </c>
      <c r="C53" s="3">
        <v>7</v>
      </c>
      <c r="D53" s="3">
        <v>2</v>
      </c>
      <c r="E53" s="5">
        <v>8.35</v>
      </c>
      <c r="F53" s="3">
        <v>0.9</v>
      </c>
      <c r="G53" s="3">
        <f t="shared" ref="G53:G58" si="28">ROUND((D53-F53)*0.15*9.81,2)</f>
        <v>1.62</v>
      </c>
      <c r="H53" s="5">
        <v>2.6</v>
      </c>
      <c r="I53" s="5">
        <v>7.4</v>
      </c>
      <c r="J53" s="5">
        <f t="shared" ref="J53:J58" si="29">(I53-H53)</f>
        <v>4.8000000000000007</v>
      </c>
      <c r="K53" s="3">
        <f t="shared" ref="K53:K58" si="30">ROUND((18.75*47*(J53)^(3/2))*10^-6,5)</f>
        <v>9.2700000000000005E-3</v>
      </c>
      <c r="L53" s="3">
        <f>(9.81*1000*K53*E53)</f>
        <v>759.33814500000005</v>
      </c>
      <c r="M53" s="3">
        <f t="shared" ref="M53:M58" si="31">ROUND(((2*3.14*850*G53)/60),2)</f>
        <v>144.13</v>
      </c>
      <c r="N53" s="3">
        <f t="shared" ref="N53:N58" si="32">ROUND((M53/L53)*100,2)</f>
        <v>18.98</v>
      </c>
    </row>
    <row r="54" spans="1:15">
      <c r="A54" s="3">
        <v>0.8</v>
      </c>
      <c r="B54" s="3">
        <v>0.1</v>
      </c>
      <c r="C54" s="3">
        <v>8</v>
      </c>
      <c r="D54" s="5">
        <v>3</v>
      </c>
      <c r="E54" s="5">
        <v>9.35</v>
      </c>
      <c r="F54" s="3">
        <v>1.3</v>
      </c>
      <c r="G54" s="3">
        <f t="shared" si="28"/>
        <v>2.5</v>
      </c>
      <c r="H54" s="5">
        <v>2.6</v>
      </c>
      <c r="I54" s="5">
        <v>8.9</v>
      </c>
      <c r="J54" s="5">
        <f t="shared" si="29"/>
        <v>6.3000000000000007</v>
      </c>
      <c r="K54" s="3">
        <f t="shared" si="30"/>
        <v>1.3939999999999999E-2</v>
      </c>
      <c r="L54" s="3">
        <f t="shared" ref="L54:L57" si="33">(9.81*1000*K54*E54)</f>
        <v>1278.6255899999999</v>
      </c>
      <c r="M54" s="3">
        <f t="shared" si="31"/>
        <v>222.42</v>
      </c>
      <c r="N54" s="3">
        <f t="shared" si="32"/>
        <v>17.399999999999999</v>
      </c>
    </row>
    <row r="55" spans="1:15">
      <c r="A55" s="3">
        <v>0.9</v>
      </c>
      <c r="B55" s="3">
        <v>0.1</v>
      </c>
      <c r="C55" s="3">
        <v>9</v>
      </c>
      <c r="D55" s="3">
        <v>4</v>
      </c>
      <c r="E55" s="5">
        <v>10.35</v>
      </c>
      <c r="F55" s="3">
        <v>1.9</v>
      </c>
      <c r="G55" s="3">
        <f t="shared" si="28"/>
        <v>3.09</v>
      </c>
      <c r="H55" s="5">
        <v>2.6</v>
      </c>
      <c r="I55" s="5">
        <v>9.41</v>
      </c>
      <c r="J55" s="5">
        <f t="shared" si="29"/>
        <v>6.8100000000000005</v>
      </c>
      <c r="K55" s="3">
        <f t="shared" si="30"/>
        <v>1.566E-2</v>
      </c>
      <c r="L55" s="3">
        <f t="shared" si="33"/>
        <v>1590.0146100000002</v>
      </c>
      <c r="M55" s="3">
        <f t="shared" si="31"/>
        <v>274.91000000000003</v>
      </c>
      <c r="N55" s="3">
        <f t="shared" si="32"/>
        <v>17.29</v>
      </c>
    </row>
    <row r="56" spans="1:15">
      <c r="A56" s="3">
        <v>1</v>
      </c>
      <c r="B56" s="3">
        <v>0.1</v>
      </c>
      <c r="C56" s="3">
        <v>10</v>
      </c>
      <c r="D56" s="5">
        <v>5</v>
      </c>
      <c r="E56" s="5">
        <v>11.35</v>
      </c>
      <c r="F56" s="3">
        <v>2.2000000000000002</v>
      </c>
      <c r="G56" s="3">
        <f t="shared" si="28"/>
        <v>4.12</v>
      </c>
      <c r="H56" s="5">
        <v>2.6</v>
      </c>
      <c r="I56" s="5">
        <v>9.81</v>
      </c>
      <c r="J56" s="5">
        <f t="shared" si="29"/>
        <v>7.2100000000000009</v>
      </c>
      <c r="K56" s="3">
        <f t="shared" si="30"/>
        <v>1.7059999999999999E-2</v>
      </c>
      <c r="L56" s="3">
        <f t="shared" si="33"/>
        <v>1899.5201099999999</v>
      </c>
      <c r="M56" s="3">
        <f t="shared" si="31"/>
        <v>366.54</v>
      </c>
      <c r="N56" s="3">
        <f t="shared" si="32"/>
        <v>19.3</v>
      </c>
      <c r="O56" s="1"/>
    </row>
    <row r="57" spans="1:15">
      <c r="A57" s="3">
        <v>1.1000000000000001</v>
      </c>
      <c r="B57" s="3">
        <v>0.1</v>
      </c>
      <c r="C57" s="3">
        <v>11</v>
      </c>
      <c r="D57" s="3">
        <v>6</v>
      </c>
      <c r="E57" s="5">
        <v>12.35</v>
      </c>
      <c r="F57" s="3">
        <v>2.9</v>
      </c>
      <c r="G57" s="3">
        <f t="shared" si="28"/>
        <v>4.5599999999999996</v>
      </c>
      <c r="H57" s="5">
        <v>2.6</v>
      </c>
      <c r="I57" s="5">
        <v>10.1</v>
      </c>
      <c r="J57" s="5">
        <f t="shared" si="29"/>
        <v>7.5</v>
      </c>
      <c r="K57" s="3">
        <f t="shared" si="30"/>
        <v>1.8100000000000002E-2</v>
      </c>
      <c r="L57" s="3">
        <f t="shared" si="33"/>
        <v>2192.87835</v>
      </c>
      <c r="M57" s="3">
        <f t="shared" si="31"/>
        <v>405.69</v>
      </c>
      <c r="N57" s="3">
        <f t="shared" si="32"/>
        <v>18.5</v>
      </c>
      <c r="O57" s="1"/>
    </row>
    <row r="58" spans="1:15">
      <c r="A58" s="3">
        <v>1.2</v>
      </c>
      <c r="B58" s="3">
        <v>0.1</v>
      </c>
      <c r="C58" s="3">
        <v>12</v>
      </c>
      <c r="D58" s="5">
        <v>7</v>
      </c>
      <c r="E58" s="5">
        <v>13.35</v>
      </c>
      <c r="F58" s="3">
        <v>3.2</v>
      </c>
      <c r="G58" s="3">
        <f t="shared" si="28"/>
        <v>5.59</v>
      </c>
      <c r="H58" s="5">
        <v>2.6</v>
      </c>
      <c r="I58" s="4">
        <v>11.15</v>
      </c>
      <c r="J58" s="5">
        <f t="shared" si="29"/>
        <v>8.5500000000000007</v>
      </c>
      <c r="K58" s="3">
        <f t="shared" si="30"/>
        <v>2.2030000000000001E-2</v>
      </c>
      <c r="L58" s="3">
        <f>(9.81*1000*K58*E58)</f>
        <v>2885.1259050000003</v>
      </c>
      <c r="M58" s="3">
        <f t="shared" si="31"/>
        <v>497.32</v>
      </c>
      <c r="N58" s="3">
        <f t="shared" si="32"/>
        <v>17.239999999999998</v>
      </c>
      <c r="O58" s="1"/>
    </row>
    <row r="59" spans="1:15">
      <c r="A59" s="1"/>
      <c r="B59" s="1"/>
      <c r="C59" s="1"/>
      <c r="D59" s="1"/>
      <c r="E59" s="8"/>
      <c r="F59" s="1"/>
      <c r="G59" s="1"/>
      <c r="H59" s="8"/>
      <c r="I59" s="7"/>
      <c r="J59" s="31"/>
      <c r="K59" s="1"/>
      <c r="L59" s="1"/>
      <c r="M59" s="1"/>
      <c r="N59" s="32">
        <f>SUM(N52:N58)/7</f>
        <v>17.791428571428572</v>
      </c>
      <c r="O59" s="1"/>
    </row>
    <row r="60" spans="1:15">
      <c r="J60" s="14"/>
      <c r="N60" s="21"/>
      <c r="O60" s="1"/>
    </row>
    <row r="63" spans="1:15">
      <c r="A63" s="49" t="s">
        <v>36</v>
      </c>
      <c r="B63" s="50"/>
      <c r="C63" s="41"/>
      <c r="D63" s="41"/>
      <c r="E63" s="41"/>
      <c r="F63" s="41"/>
      <c r="G63" s="42"/>
      <c r="H63" s="43" t="s">
        <v>2</v>
      </c>
      <c r="I63" s="43"/>
      <c r="J63" s="43"/>
      <c r="K63" s="3"/>
      <c r="L63" s="3"/>
      <c r="M63" s="3"/>
      <c r="N63" s="3"/>
    </row>
    <row r="64" spans="1:15" ht="38.25">
      <c r="A64" s="6" t="s">
        <v>23</v>
      </c>
      <c r="B64" s="29" t="s">
        <v>33</v>
      </c>
      <c r="C64" s="6" t="s">
        <v>26</v>
      </c>
      <c r="D64" s="3" t="s">
        <v>15</v>
      </c>
      <c r="E64" s="3" t="s">
        <v>20</v>
      </c>
      <c r="F64" s="3" t="s">
        <v>14</v>
      </c>
      <c r="G64" s="3" t="s">
        <v>16</v>
      </c>
      <c r="H64" s="4" t="s">
        <v>3</v>
      </c>
      <c r="I64" s="4" t="s">
        <v>4</v>
      </c>
      <c r="J64" s="4" t="s">
        <v>13</v>
      </c>
      <c r="K64" s="30" t="s">
        <v>29</v>
      </c>
      <c r="L64" s="33" t="s">
        <v>19</v>
      </c>
      <c r="M64" s="9" t="s">
        <v>18</v>
      </c>
      <c r="N64" s="9" t="s">
        <v>17</v>
      </c>
    </row>
    <row r="65" spans="1:15">
      <c r="A65" s="3">
        <v>0.5</v>
      </c>
      <c r="B65" s="3">
        <v>0.11</v>
      </c>
      <c r="C65" s="3">
        <v>5</v>
      </c>
      <c r="D65" s="5">
        <v>1</v>
      </c>
      <c r="E65" s="5">
        <v>6.5</v>
      </c>
      <c r="F65" s="5">
        <v>0.6</v>
      </c>
      <c r="G65" s="5">
        <f>ROUND((D65-F65)*0.15*9.81,2)</f>
        <v>0.59</v>
      </c>
      <c r="H65" s="5">
        <v>2.4</v>
      </c>
      <c r="I65" s="5">
        <f>(J65+H65)</f>
        <v>6.1999999999999993</v>
      </c>
      <c r="J65" s="5">
        <v>3.8</v>
      </c>
      <c r="K65" s="3">
        <f>ROUND((18.75*47*(J65)^(3/2))*10^-6,5)</f>
        <v>6.5300000000000002E-3</v>
      </c>
      <c r="L65" s="3">
        <f>(9.81*1000*K65*E65)</f>
        <v>416.38545000000005</v>
      </c>
      <c r="M65" s="3">
        <f>ROUND(((2*3.14*800*G65)/60),2)</f>
        <v>49.4</v>
      </c>
      <c r="N65" s="3">
        <f>ROUND((M65/L65)*100,2)</f>
        <v>11.86</v>
      </c>
    </row>
    <row r="66" spans="1:15">
      <c r="A66" s="3">
        <v>0.6</v>
      </c>
      <c r="B66" s="3">
        <v>0.11</v>
      </c>
      <c r="C66" s="3">
        <v>6</v>
      </c>
      <c r="D66" s="3">
        <v>2</v>
      </c>
      <c r="E66" s="5">
        <v>7.5</v>
      </c>
      <c r="F66" s="3">
        <v>1</v>
      </c>
      <c r="G66" s="3">
        <f t="shared" ref="G66:G71" si="34">ROUND((D66-F66)*0.15*9.81,2)</f>
        <v>1.47</v>
      </c>
      <c r="H66" s="5">
        <v>2.4</v>
      </c>
      <c r="I66" s="5">
        <f t="shared" ref="I66:I71" si="35">(J66+H66)</f>
        <v>7.5</v>
      </c>
      <c r="J66" s="5">
        <v>5.0999999999999996</v>
      </c>
      <c r="K66" s="3">
        <f t="shared" ref="K66:K71" si="36">ROUND((18.75*47*(J66)^(3/2))*10^-6,5)</f>
        <v>1.0149999999999999E-2</v>
      </c>
      <c r="L66" s="3">
        <f>(9.81*1000*K66*E66)</f>
        <v>746.78624999999988</v>
      </c>
      <c r="M66" s="3">
        <f t="shared" ref="M66:M71" si="37">ROUND(((2*3.14*800*G66)/60),2)</f>
        <v>123.09</v>
      </c>
      <c r="N66" s="3">
        <f t="shared" ref="N66:N71" si="38">ROUND((M66/L66)*100,2)</f>
        <v>16.48</v>
      </c>
    </row>
    <row r="67" spans="1:15">
      <c r="A67" s="3">
        <v>0.7</v>
      </c>
      <c r="B67" s="3">
        <v>0.11</v>
      </c>
      <c r="C67" s="3">
        <v>7</v>
      </c>
      <c r="D67" s="5">
        <v>3</v>
      </c>
      <c r="E67" s="5">
        <v>8.5</v>
      </c>
      <c r="F67" s="3">
        <v>1.5</v>
      </c>
      <c r="G67" s="3">
        <f t="shared" si="34"/>
        <v>2.21</v>
      </c>
      <c r="H67" s="5">
        <v>2.4</v>
      </c>
      <c r="I67" s="5">
        <f t="shared" si="35"/>
        <v>9</v>
      </c>
      <c r="J67" s="5">
        <v>6.6</v>
      </c>
      <c r="K67" s="3">
        <f t="shared" si="36"/>
        <v>1.494E-2</v>
      </c>
      <c r="L67" s="3">
        <f t="shared" ref="L67:L70" si="39">(9.81*1000*K67*E67)</f>
        <v>1245.7719</v>
      </c>
      <c r="M67" s="3">
        <f t="shared" si="37"/>
        <v>185.05</v>
      </c>
      <c r="N67" s="3">
        <f t="shared" si="38"/>
        <v>14.85</v>
      </c>
    </row>
    <row r="68" spans="1:15">
      <c r="A68" s="3">
        <v>0.8</v>
      </c>
      <c r="B68" s="3">
        <v>0.11</v>
      </c>
      <c r="C68" s="3">
        <v>8</v>
      </c>
      <c r="D68" s="3">
        <v>4</v>
      </c>
      <c r="E68" s="5">
        <v>9.5</v>
      </c>
      <c r="F68" s="3">
        <v>1.9</v>
      </c>
      <c r="G68" s="3">
        <f t="shared" si="34"/>
        <v>3.09</v>
      </c>
      <c r="H68" s="5">
        <v>2.4</v>
      </c>
      <c r="I68" s="5">
        <f t="shared" si="35"/>
        <v>9.6</v>
      </c>
      <c r="J68" s="5">
        <v>7.2</v>
      </c>
      <c r="K68" s="3">
        <f t="shared" si="36"/>
        <v>1.703E-2</v>
      </c>
      <c r="L68" s="3">
        <f t="shared" si="39"/>
        <v>1587.11085</v>
      </c>
      <c r="M68" s="3">
        <f t="shared" si="37"/>
        <v>258.74</v>
      </c>
      <c r="N68" s="3">
        <f t="shared" si="38"/>
        <v>16.3</v>
      </c>
    </row>
    <row r="69" spans="1:15">
      <c r="A69" s="3">
        <v>1</v>
      </c>
      <c r="B69" s="3">
        <v>0.11</v>
      </c>
      <c r="C69" s="3">
        <v>9</v>
      </c>
      <c r="D69" s="5">
        <v>5</v>
      </c>
      <c r="E69" s="5">
        <v>10.5</v>
      </c>
      <c r="F69" s="3">
        <v>2.5</v>
      </c>
      <c r="G69" s="3">
        <f t="shared" si="34"/>
        <v>3.68</v>
      </c>
      <c r="H69" s="5">
        <v>2.4</v>
      </c>
      <c r="I69" s="5">
        <f t="shared" si="35"/>
        <v>9.9</v>
      </c>
      <c r="J69" s="5">
        <v>7.5</v>
      </c>
      <c r="K69" s="3">
        <f t="shared" si="36"/>
        <v>1.8100000000000002E-2</v>
      </c>
      <c r="L69" s="3">
        <f t="shared" si="39"/>
        <v>1864.3905</v>
      </c>
      <c r="M69" s="3">
        <f t="shared" si="37"/>
        <v>308.14</v>
      </c>
      <c r="N69" s="3">
        <f t="shared" si="38"/>
        <v>16.53</v>
      </c>
      <c r="O69" s="1"/>
    </row>
    <row r="70" spans="1:15">
      <c r="A70" s="3">
        <v>1.2</v>
      </c>
      <c r="B70" s="3">
        <v>0.11</v>
      </c>
      <c r="C70" s="3">
        <v>10</v>
      </c>
      <c r="D70" s="3">
        <v>6</v>
      </c>
      <c r="E70" s="5">
        <v>11.5</v>
      </c>
      <c r="F70" s="3">
        <v>3</v>
      </c>
      <c r="G70" s="3">
        <f t="shared" si="34"/>
        <v>4.41</v>
      </c>
      <c r="H70" s="5">
        <v>2.4</v>
      </c>
      <c r="I70" s="5">
        <f t="shared" si="35"/>
        <v>10.199999999999999</v>
      </c>
      <c r="J70" s="5">
        <v>7.8</v>
      </c>
      <c r="K70" s="3">
        <f t="shared" si="36"/>
        <v>1.9199999999999998E-2</v>
      </c>
      <c r="L70" s="3">
        <f t="shared" si="39"/>
        <v>2166.0479999999998</v>
      </c>
      <c r="M70" s="3">
        <f t="shared" si="37"/>
        <v>369.26</v>
      </c>
      <c r="N70" s="3">
        <f t="shared" si="38"/>
        <v>17.05</v>
      </c>
      <c r="O70" s="1"/>
    </row>
    <row r="71" spans="1:15">
      <c r="A71" s="3">
        <v>1.4</v>
      </c>
      <c r="B71" s="3">
        <v>0.11</v>
      </c>
      <c r="C71" s="3">
        <v>11</v>
      </c>
      <c r="D71" s="5">
        <v>7</v>
      </c>
      <c r="E71" s="5">
        <v>12.5</v>
      </c>
      <c r="F71" s="3">
        <v>3.5</v>
      </c>
      <c r="G71" s="3">
        <f t="shared" si="34"/>
        <v>5.15</v>
      </c>
      <c r="H71" s="5">
        <v>2.4</v>
      </c>
      <c r="I71" s="5">
        <f t="shared" si="35"/>
        <v>11.3</v>
      </c>
      <c r="J71" s="5">
        <v>8.9</v>
      </c>
      <c r="K71" s="3">
        <f t="shared" si="36"/>
        <v>2.3400000000000001E-2</v>
      </c>
      <c r="L71" s="3">
        <f>(9.81*1000*K71*E71)</f>
        <v>2869.4250000000002</v>
      </c>
      <c r="M71" s="3">
        <f t="shared" si="37"/>
        <v>431.23</v>
      </c>
      <c r="N71" s="3">
        <f t="shared" si="38"/>
        <v>15.03</v>
      </c>
      <c r="O71" s="1"/>
    </row>
    <row r="72" spans="1:15">
      <c r="A72" s="1"/>
      <c r="B72" s="1"/>
      <c r="C72" s="1"/>
      <c r="D72" s="1"/>
      <c r="E72" s="8"/>
      <c r="F72" s="1"/>
      <c r="G72" s="1"/>
      <c r="H72" s="8"/>
      <c r="I72" s="7"/>
      <c r="J72" s="31"/>
      <c r="K72" s="1"/>
      <c r="L72" s="1"/>
      <c r="M72" s="1"/>
      <c r="N72" s="32">
        <f>SUM(N65:N71)/7</f>
        <v>15.442857142857141</v>
      </c>
      <c r="O72" s="1"/>
    </row>
    <row r="73" spans="1:15">
      <c r="J73" s="14"/>
      <c r="N73" s="21"/>
      <c r="O73" s="1"/>
    </row>
  </sheetData>
  <mergeCells count="20">
    <mergeCell ref="G1:I1"/>
    <mergeCell ref="J1:J2"/>
    <mergeCell ref="K1:K2"/>
    <mergeCell ref="L1:L2"/>
    <mergeCell ref="M1:M2"/>
    <mergeCell ref="A1:A2"/>
    <mergeCell ref="B1:B2"/>
    <mergeCell ref="C1:C2"/>
    <mergeCell ref="D1:E1"/>
    <mergeCell ref="F1:F2"/>
    <mergeCell ref="A38:G38"/>
    <mergeCell ref="H38:J38"/>
    <mergeCell ref="A63:G63"/>
    <mergeCell ref="H63:J63"/>
    <mergeCell ref="A14:G14"/>
    <mergeCell ref="H14:J14"/>
    <mergeCell ref="A27:G27"/>
    <mergeCell ref="H27:J27"/>
    <mergeCell ref="A50:G50"/>
    <mergeCell ref="H50:J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7"/>
  <sheetViews>
    <sheetView workbookViewId="0">
      <selection activeCell="J10" sqref="J10"/>
    </sheetView>
  </sheetViews>
  <sheetFormatPr defaultRowHeight="12.75"/>
  <sheetData>
    <row r="2" spans="1:14">
      <c r="A2" s="55" t="s">
        <v>37</v>
      </c>
      <c r="B2" s="57" t="s">
        <v>38</v>
      </c>
      <c r="C2" s="58"/>
      <c r="D2" s="58"/>
      <c r="E2" s="57" t="s">
        <v>6</v>
      </c>
      <c r="F2" s="57" t="s">
        <v>41</v>
      </c>
      <c r="G2" s="58"/>
      <c r="H2" s="55" t="s">
        <v>16</v>
      </c>
      <c r="I2" s="55" t="s">
        <v>42</v>
      </c>
      <c r="J2" s="55" t="s">
        <v>43</v>
      </c>
      <c r="K2" s="55" t="s">
        <v>44</v>
      </c>
      <c r="L2" s="55" t="s">
        <v>45</v>
      </c>
      <c r="M2" s="55" t="s">
        <v>46</v>
      </c>
      <c r="N2" s="57" t="s">
        <v>47</v>
      </c>
    </row>
    <row r="3" spans="1:14">
      <c r="A3" s="55"/>
      <c r="B3" s="37" t="s">
        <v>3</v>
      </c>
      <c r="C3" s="37" t="s">
        <v>4</v>
      </c>
      <c r="D3" s="37" t="s">
        <v>39</v>
      </c>
      <c r="E3" s="58"/>
      <c r="F3" s="39" t="s">
        <v>40</v>
      </c>
      <c r="G3" s="39" t="s">
        <v>0</v>
      </c>
      <c r="H3" s="56"/>
      <c r="I3" s="55"/>
      <c r="J3" s="56"/>
      <c r="K3" s="56"/>
      <c r="L3" s="56"/>
      <c r="M3" s="56"/>
      <c r="N3" s="58"/>
    </row>
    <row r="4" spans="1:14">
      <c r="A4">
        <v>2775</v>
      </c>
      <c r="B4">
        <v>5.42</v>
      </c>
      <c r="C4">
        <v>20.48</v>
      </c>
      <c r="D4">
        <f>(C4-B4)</f>
        <v>15.06</v>
      </c>
      <c r="E4">
        <f>ROUND((18.75*61*(D4)^(3/2))*10^-6,5)</f>
        <v>6.6839999999999997E-2</v>
      </c>
      <c r="F4">
        <v>1</v>
      </c>
      <c r="G4">
        <v>0</v>
      </c>
      <c r="H4">
        <f>(F4-G4)*0.15*9.81</f>
        <v>1.4715</v>
      </c>
      <c r="I4">
        <f>(9810*E4*(5.1))</f>
        <v>3344.0720399999996</v>
      </c>
      <c r="J4">
        <f>(2*3.14*A4*H4)/60</f>
        <v>427.397175</v>
      </c>
    </row>
    <row r="5" spans="1:14">
      <c r="A5">
        <v>2725</v>
      </c>
      <c r="B5">
        <v>5.42</v>
      </c>
      <c r="C5">
        <v>20.399999999999999</v>
      </c>
      <c r="D5">
        <f t="shared" ref="D5:D7" si="0">(C5-B5)</f>
        <v>14.979999999999999</v>
      </c>
      <c r="E5">
        <f t="shared" ref="E5:E7" si="1">ROUND((18.75*61*(D5)^(3/2))*10^-6,5)</f>
        <v>6.6309999999999994E-2</v>
      </c>
      <c r="F5">
        <v>2</v>
      </c>
      <c r="G5">
        <v>1</v>
      </c>
      <c r="H5">
        <f t="shared" ref="H5:H7" si="2">(F5-G5)*0.15*9.81</f>
        <v>1.4715</v>
      </c>
      <c r="I5">
        <f t="shared" ref="I5:I7" si="3">(9810*E5*(5.1))</f>
        <v>3317.5556099999994</v>
      </c>
      <c r="J5">
        <f t="shared" ref="J5:J7" si="4">(2*3.14*A5*H5)/60</f>
        <v>419.696325</v>
      </c>
    </row>
    <row r="6" spans="1:14">
      <c r="A6">
        <v>2675</v>
      </c>
      <c r="B6">
        <v>5.42</v>
      </c>
      <c r="C6">
        <v>20</v>
      </c>
      <c r="D6">
        <f t="shared" si="0"/>
        <v>14.58</v>
      </c>
      <c r="E6">
        <f t="shared" si="1"/>
        <v>6.3670000000000004E-2</v>
      </c>
      <c r="F6">
        <v>3</v>
      </c>
      <c r="G6">
        <v>1</v>
      </c>
      <c r="H6">
        <f t="shared" si="2"/>
        <v>2.9430000000000001</v>
      </c>
      <c r="I6">
        <f t="shared" si="3"/>
        <v>3185.4737700000001</v>
      </c>
      <c r="J6">
        <f t="shared" si="4"/>
        <v>823.99095</v>
      </c>
    </row>
    <row r="7" spans="1:14">
      <c r="A7">
        <v>2575</v>
      </c>
      <c r="B7">
        <v>5.42</v>
      </c>
      <c r="C7">
        <v>20.11</v>
      </c>
      <c r="D7">
        <f t="shared" si="0"/>
        <v>14.69</v>
      </c>
      <c r="E7">
        <f t="shared" si="1"/>
        <v>6.4399999999999999E-2</v>
      </c>
      <c r="F7">
        <v>4</v>
      </c>
      <c r="G7">
        <v>1.2</v>
      </c>
      <c r="H7">
        <f t="shared" si="2"/>
        <v>4.1201999999999996</v>
      </c>
      <c r="I7">
        <f t="shared" si="3"/>
        <v>3221.9964</v>
      </c>
      <c r="J7">
        <f t="shared" si="4"/>
        <v>1110.4625699999999</v>
      </c>
    </row>
  </sheetData>
  <mergeCells count="11">
    <mergeCell ref="A2:A3"/>
    <mergeCell ref="E2:E3"/>
    <mergeCell ref="F2:G2"/>
    <mergeCell ref="H2:H3"/>
    <mergeCell ref="J2:J3"/>
    <mergeCell ref="I2:I3"/>
    <mergeCell ref="K2:K3"/>
    <mergeCell ref="L2:L3"/>
    <mergeCell ref="M2:M3"/>
    <mergeCell ref="N2:N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P_Speed</vt:lpstr>
      <vt:lpstr>F_Head</vt:lpstr>
      <vt:lpstr>F_Speed</vt:lpstr>
      <vt:lpstr>Kaplan_Head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ATHUL-SOLVE</dc:creator>
  <cp:lastModifiedBy>santhosh</cp:lastModifiedBy>
  <dcterms:created xsi:type="dcterms:W3CDTF">1999-10-20T10:11:18Z</dcterms:created>
  <dcterms:modified xsi:type="dcterms:W3CDTF">2016-08-23T11:02:58Z</dcterms:modified>
</cp:coreProperties>
</file>