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105"/>
  <workbookPr date1904="1" showInkAnnotation="0" autoCompressPictures="0"/>
  <bookViews>
    <workbookView xWindow="29280" yWindow="3420" windowWidth="20460" windowHeight="22580" tabRatio="500" firstSheet="4" activeTab="7"/>
  </bookViews>
  <sheets>
    <sheet name="Lassen" sheetId="2" r:id="rId1"/>
    <sheet name="Lassen Shifts" sheetId="4" r:id="rId2"/>
    <sheet name="YoseShifts" sheetId="5" r:id="rId3"/>
    <sheet name="SEKIShifts" sheetId="6" r:id="rId4"/>
    <sheet name="ShifttLH" sheetId="9" r:id="rId5"/>
    <sheet name="UP-DOWN" sheetId="8" r:id="rId6"/>
    <sheet name="LEAD-LAG" sheetId="10" r:id="rId7"/>
    <sheet name="Shifts Stats" sheetId="1" r:id="rId8"/>
    <sheet name="Chi-sqaured" sheetId="7" r:id="rId9"/>
    <sheet name="Sheet2" sheetId="3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5" i="1" l="1"/>
  <c r="V36" i="1"/>
  <c r="U36" i="1"/>
  <c r="U35" i="1"/>
  <c r="V37" i="1"/>
  <c r="U37" i="1"/>
  <c r="P107" i="1"/>
  <c r="O107" i="1"/>
  <c r="P106" i="1"/>
  <c r="O106" i="1"/>
  <c r="O105" i="1"/>
  <c r="P105" i="1"/>
  <c r="P104" i="1"/>
  <c r="O104" i="1"/>
  <c r="O103" i="1"/>
  <c r="P103" i="1"/>
  <c r="O102" i="1"/>
  <c r="O101" i="1"/>
  <c r="P101" i="1"/>
  <c r="P100" i="1"/>
  <c r="O100" i="1"/>
  <c r="T51" i="1"/>
  <c r="T52" i="1"/>
  <c r="W55" i="1"/>
  <c r="V55" i="1"/>
  <c r="W52" i="1"/>
  <c r="V52" i="1"/>
  <c r="W51" i="1"/>
  <c r="V51" i="1"/>
  <c r="W49" i="1"/>
  <c r="V49" i="1"/>
  <c r="W48" i="1"/>
  <c r="V48" i="1"/>
  <c r="W58" i="1"/>
  <c r="V58" i="1"/>
  <c r="W57" i="1"/>
  <c r="V57" i="1"/>
  <c r="U55" i="1"/>
  <c r="U52" i="1"/>
  <c r="U49" i="1"/>
  <c r="U58" i="1"/>
  <c r="U48" i="1"/>
  <c r="U51" i="1"/>
  <c r="U54" i="1"/>
  <c r="U57" i="1"/>
  <c r="T55" i="1"/>
  <c r="T49" i="1"/>
  <c r="T58" i="1"/>
  <c r="T48" i="1"/>
  <c r="T54" i="1"/>
  <c r="T57" i="1"/>
  <c r="V85" i="1"/>
  <c r="U77" i="1"/>
  <c r="T89" i="1"/>
  <c r="Q89" i="1"/>
  <c r="P89" i="1"/>
  <c r="Q84" i="1"/>
  <c r="Q85" i="1"/>
  <c r="Q86" i="1"/>
  <c r="Q87" i="1"/>
  <c r="Q88" i="1"/>
  <c r="P84" i="1"/>
  <c r="P85" i="1"/>
  <c r="P86" i="1"/>
  <c r="P87" i="1"/>
  <c r="P88" i="1"/>
  <c r="O87" i="1"/>
  <c r="O86" i="1"/>
  <c r="O85" i="1"/>
  <c r="O84" i="1"/>
  <c r="Q80" i="1"/>
  <c r="P80" i="1"/>
  <c r="Q71" i="1"/>
  <c r="P71" i="1"/>
  <c r="Q62" i="1"/>
  <c r="P62" i="1"/>
  <c r="Q61" i="1"/>
  <c r="P61" i="1"/>
  <c r="Q70" i="1"/>
  <c r="P70" i="1"/>
  <c r="Q79" i="1"/>
  <c r="P79" i="1"/>
  <c r="U23" i="1"/>
  <c r="V23" i="1"/>
  <c r="U21" i="1"/>
  <c r="T21" i="1"/>
  <c r="V15" i="1"/>
  <c r="U15" i="1"/>
  <c r="U14" i="1"/>
  <c r="U13" i="1"/>
  <c r="T13" i="1"/>
  <c r="U11" i="1"/>
  <c r="T11" i="1"/>
  <c r="U4" i="1"/>
  <c r="P4" i="1"/>
  <c r="Q17" i="1"/>
  <c r="P17" i="1"/>
  <c r="O17" i="1"/>
  <c r="O10" i="1"/>
  <c r="O6" i="1"/>
  <c r="P6" i="1"/>
  <c r="Q6" i="1"/>
  <c r="Q5" i="1"/>
  <c r="P5" i="1"/>
  <c r="O5" i="1"/>
  <c r="Q4" i="1"/>
  <c r="O4" i="1"/>
  <c r="O3" i="1"/>
  <c r="U34" i="1"/>
  <c r="V33" i="1"/>
  <c r="U33" i="1"/>
  <c r="V38" i="1"/>
  <c r="U38" i="1"/>
  <c r="Z34" i="1"/>
  <c r="V32" i="1"/>
  <c r="U32" i="1"/>
  <c r="Q34" i="1"/>
  <c r="AA33" i="1"/>
  <c r="Z33" i="1"/>
  <c r="V31" i="1"/>
  <c r="U31" i="1"/>
  <c r="AA32" i="1"/>
  <c r="Z32" i="1"/>
  <c r="V39" i="1"/>
  <c r="U39" i="1"/>
  <c r="AA31" i="1"/>
  <c r="Z31" i="1"/>
  <c r="V30" i="1"/>
  <c r="U30" i="1"/>
  <c r="AA30" i="1"/>
  <c r="Z30" i="1"/>
  <c r="V29" i="1"/>
  <c r="U29" i="1"/>
  <c r="P30" i="1"/>
  <c r="AA29" i="1"/>
  <c r="Z29" i="1"/>
  <c r="V40" i="1"/>
  <c r="U40" i="1"/>
  <c r="P29" i="1"/>
  <c r="V22" i="1"/>
  <c r="T22" i="1"/>
  <c r="V21" i="1"/>
  <c r="V20" i="1"/>
  <c r="U20" i="1"/>
  <c r="T20" i="1"/>
  <c r="Q20" i="1"/>
  <c r="P20" i="1"/>
  <c r="O20" i="1"/>
  <c r="V19" i="1"/>
  <c r="U19" i="1"/>
  <c r="T19" i="1"/>
  <c r="Q19" i="1"/>
  <c r="P19" i="1"/>
  <c r="O19" i="1"/>
  <c r="Q18" i="1"/>
  <c r="P18" i="1"/>
  <c r="O18" i="1"/>
  <c r="T14" i="1"/>
  <c r="Q13" i="1"/>
  <c r="P13" i="1"/>
  <c r="O13" i="1"/>
  <c r="V12" i="1"/>
  <c r="U12" i="1"/>
  <c r="T12" i="1"/>
  <c r="Q12" i="1"/>
  <c r="P12" i="1"/>
  <c r="O12" i="1"/>
  <c r="Q11" i="1"/>
  <c r="P11" i="1"/>
  <c r="O11" i="1"/>
  <c r="Q10" i="1"/>
  <c r="P10" i="1"/>
  <c r="V7" i="1"/>
  <c r="U7" i="1"/>
  <c r="V6" i="1"/>
  <c r="U6" i="1"/>
  <c r="T6" i="1"/>
  <c r="V5" i="1"/>
  <c r="U5" i="1"/>
  <c r="T5" i="1"/>
  <c r="V4" i="1"/>
  <c r="T4" i="1"/>
  <c r="U3" i="1"/>
  <c r="T3" i="1"/>
  <c r="Q3" i="1"/>
  <c r="P3" i="1"/>
  <c r="G14" i="3"/>
  <c r="F14" i="3"/>
  <c r="G13" i="3"/>
  <c r="F13" i="3"/>
  <c r="G8" i="3"/>
  <c r="F8" i="3"/>
  <c r="G4" i="3"/>
  <c r="F4" i="3"/>
  <c r="G3" i="3"/>
  <c r="F3" i="3"/>
</calcChain>
</file>

<file path=xl/sharedStrings.xml><?xml version="1.0" encoding="utf-8"?>
<sst xmlns="http://schemas.openxmlformats.org/spreadsheetml/2006/main" count="1275" uniqueCount="267">
  <si>
    <t>Contract</t>
    <phoneticPr fontId="6" type="noConversion"/>
  </si>
  <si>
    <t>Expand</t>
    <phoneticPr fontId="6" type="noConversion"/>
  </si>
  <si>
    <t>Total</t>
    <phoneticPr fontId="6" type="noConversion"/>
  </si>
  <si>
    <t>lower limits high elev</t>
    <phoneticPr fontId="6" type="noConversion"/>
  </si>
  <si>
    <t>No Change</t>
    <phoneticPr fontId="6" type="noConversion"/>
  </si>
  <si>
    <t>species</t>
    <phoneticPr fontId="6" type="noConversion"/>
  </si>
  <si>
    <t>region</t>
    <phoneticPr fontId="6" type="noConversion"/>
  </si>
  <si>
    <t>Lassen Shifts</t>
    <phoneticPr fontId="6" type="noConversion"/>
  </si>
  <si>
    <t>lower limit</t>
    <phoneticPr fontId="6" type="noConversion"/>
  </si>
  <si>
    <t>upper limit</t>
    <phoneticPr fontId="6" type="noConversion"/>
  </si>
  <si>
    <t>lower limit</t>
    <phoneticPr fontId="6" type="noConversion"/>
  </si>
  <si>
    <t>upper limit</t>
    <phoneticPr fontId="6" type="noConversion"/>
  </si>
  <si>
    <t>Up</t>
    <phoneticPr fontId="6" type="noConversion"/>
  </si>
  <si>
    <t>Down</t>
    <phoneticPr fontId="6" type="noConversion"/>
  </si>
  <si>
    <t>Seqouia Shifts</t>
    <phoneticPr fontId="6" type="noConversion"/>
  </si>
  <si>
    <t>Yosemite Shifts</t>
    <phoneticPr fontId="6" type="noConversion"/>
  </si>
  <si>
    <t>Low ELEV</t>
    <phoneticPr fontId="6" type="noConversion"/>
  </si>
  <si>
    <t>High ELEV</t>
    <phoneticPr fontId="6" type="noConversion"/>
  </si>
  <si>
    <t>All Shifts</t>
    <phoneticPr fontId="6" type="noConversion"/>
  </si>
  <si>
    <t>NO</t>
    <phoneticPr fontId="6" type="noConversion"/>
  </si>
  <si>
    <t>+520</t>
    <phoneticPr fontId="6" type="noConversion"/>
  </si>
  <si>
    <t>Upper Limit Shift</t>
    <phoneticPr fontId="6" type="noConversion"/>
  </si>
  <si>
    <t>W</t>
    <phoneticPr fontId="6" type="noConversion"/>
  </si>
  <si>
    <t>Lower Limit Shift</t>
    <phoneticPr fontId="6" type="noConversion"/>
  </si>
  <si>
    <t>Upper Limit Shift</t>
    <phoneticPr fontId="6" type="noConversion"/>
  </si>
  <si>
    <t>NO</t>
    <phoneticPr fontId="6" type="noConversion"/>
  </si>
  <si>
    <t>NO</t>
    <phoneticPr fontId="6" type="noConversion"/>
  </si>
  <si>
    <t>NO</t>
    <phoneticPr fontId="6" type="noConversion"/>
  </si>
  <si>
    <t>NO</t>
    <phoneticPr fontId="6" type="noConversion"/>
  </si>
  <si>
    <t>NO</t>
    <phoneticPr fontId="6" type="noConversion"/>
  </si>
  <si>
    <t>No Change</t>
    <phoneticPr fontId="6" type="noConversion"/>
  </si>
  <si>
    <t>No Change</t>
    <phoneticPr fontId="6" type="noConversion"/>
  </si>
  <si>
    <t>H</t>
    <phoneticPr fontId="6" type="noConversion"/>
  </si>
  <si>
    <t>H</t>
    <phoneticPr fontId="6" type="noConversion"/>
  </si>
  <si>
    <t>N</t>
    <phoneticPr fontId="6" type="noConversion"/>
  </si>
  <si>
    <t>Marmota flaviventris</t>
    <phoneticPr fontId="6" type="noConversion"/>
  </si>
  <si>
    <t>Lassen</t>
  </si>
  <si>
    <t>NA</t>
    <phoneticPr fontId="6" type="noConversion"/>
  </si>
  <si>
    <t>Microtus longicaudus</t>
    <phoneticPr fontId="6" type="noConversion"/>
  </si>
  <si>
    <t>-204</t>
    <phoneticPr fontId="6" type="noConversion"/>
  </si>
  <si>
    <t>E</t>
  </si>
  <si>
    <t>XW</t>
  </si>
  <si>
    <t>Expansion</t>
    <phoneticPr fontId="6" type="noConversion"/>
  </si>
  <si>
    <t>H</t>
    <phoneticPr fontId="6" type="noConversion"/>
  </si>
  <si>
    <t>E</t>
    <phoneticPr fontId="6" type="noConversion"/>
  </si>
  <si>
    <t>CHI Square TEST SHIFT UP OR DOWn</t>
    <phoneticPr fontId="6" type="noConversion"/>
  </si>
  <si>
    <t>ALL SPECIES</t>
    <phoneticPr fontId="6" type="noConversion"/>
  </si>
  <si>
    <t>Region</t>
    <phoneticPr fontId="6" type="noConversion"/>
  </si>
  <si>
    <t>chi-square</t>
    <phoneticPr fontId="6" type="noConversion"/>
  </si>
  <si>
    <t>p</t>
    <phoneticPr fontId="6" type="noConversion"/>
  </si>
  <si>
    <t>LA</t>
    <phoneticPr fontId="6" type="noConversion"/>
  </si>
  <si>
    <t>YO</t>
    <phoneticPr fontId="6" type="noConversion"/>
  </si>
  <si>
    <t>NO</t>
    <phoneticPr fontId="6" type="noConversion"/>
  </si>
  <si>
    <t>NO</t>
    <phoneticPr fontId="6" type="noConversion"/>
  </si>
  <si>
    <t>NO</t>
    <phoneticPr fontId="6" type="noConversion"/>
  </si>
  <si>
    <t>NO</t>
    <phoneticPr fontId="6" type="noConversion"/>
  </si>
  <si>
    <t>Expand +U</t>
    <phoneticPr fontId="6" type="noConversion"/>
  </si>
  <si>
    <t>Expand +U</t>
    <phoneticPr fontId="6" type="noConversion"/>
  </si>
  <si>
    <t>NO</t>
    <phoneticPr fontId="6" type="noConversion"/>
  </si>
  <si>
    <t>NO</t>
    <phoneticPr fontId="6" type="noConversion"/>
  </si>
  <si>
    <t>Low Elev</t>
    <phoneticPr fontId="6" type="noConversion"/>
  </si>
  <si>
    <t>High Elev</t>
    <phoneticPr fontId="6" type="noConversion"/>
  </si>
  <si>
    <t>Tamias amoenus</t>
    <phoneticPr fontId="6" type="noConversion"/>
  </si>
  <si>
    <t>Tamias senex</t>
    <phoneticPr fontId="6" type="noConversion"/>
  </si>
  <si>
    <t>Tamias speciosus</t>
    <phoneticPr fontId="6" type="noConversion"/>
  </si>
  <si>
    <t>+222</t>
    <phoneticPr fontId="6" type="noConversion"/>
  </si>
  <si>
    <t>E</t>
    <phoneticPr fontId="6" type="noConversion"/>
  </si>
  <si>
    <t>+671</t>
    <phoneticPr fontId="6" type="noConversion"/>
  </si>
  <si>
    <t>Expand +U</t>
    <phoneticPr fontId="6" type="noConversion"/>
  </si>
  <si>
    <t>+430</t>
    <phoneticPr fontId="6" type="noConversion"/>
  </si>
  <si>
    <t>N</t>
    <phoneticPr fontId="6" type="noConversion"/>
  </si>
  <si>
    <t>+145</t>
    <phoneticPr fontId="6" type="noConversion"/>
  </si>
  <si>
    <t>W</t>
    <phoneticPr fontId="6" type="noConversion"/>
  </si>
  <si>
    <t>-262</t>
    <phoneticPr fontId="6" type="noConversion"/>
  </si>
  <si>
    <t>C</t>
    <phoneticPr fontId="6" type="noConversion"/>
  </si>
  <si>
    <t>NO</t>
    <phoneticPr fontId="6" type="noConversion"/>
  </si>
  <si>
    <t>NO</t>
    <phoneticPr fontId="6" type="noConversion"/>
  </si>
  <si>
    <t>NO</t>
    <phoneticPr fontId="6" type="noConversion"/>
  </si>
  <si>
    <t>XW</t>
    <phoneticPr fontId="6" type="noConversion"/>
  </si>
  <si>
    <t>Contract -U</t>
    <phoneticPr fontId="6" type="noConversion"/>
  </si>
  <si>
    <t>+676</t>
    <phoneticPr fontId="6" type="noConversion"/>
  </si>
  <si>
    <t>Tamias alpinus</t>
    <phoneticPr fontId="6" type="noConversion"/>
  </si>
  <si>
    <t>+471</t>
    <phoneticPr fontId="6" type="noConversion"/>
  </si>
  <si>
    <t>+555</t>
    <phoneticPr fontId="6" type="noConversion"/>
  </si>
  <si>
    <t>Zapus princeps</t>
    <phoneticPr fontId="6" type="noConversion"/>
  </si>
  <si>
    <t>+821</t>
    <phoneticPr fontId="6" type="noConversion"/>
  </si>
  <si>
    <t>+583</t>
    <phoneticPr fontId="6" type="noConversion"/>
  </si>
  <si>
    <t>Chaetodipus californicus</t>
    <phoneticPr fontId="6" type="noConversion"/>
  </si>
  <si>
    <t>+113</t>
    <phoneticPr fontId="6" type="noConversion"/>
  </si>
  <si>
    <t>+226</t>
    <phoneticPr fontId="6" type="noConversion"/>
  </si>
  <si>
    <t>ALL combined</t>
    <phoneticPr fontId="6" type="noConversion"/>
  </si>
  <si>
    <t>Reithrodontomys megalotis</t>
    <phoneticPr fontId="6" type="noConversion"/>
  </si>
  <si>
    <t>-434</t>
    <phoneticPr fontId="6" type="noConversion"/>
  </si>
  <si>
    <t>Sciurus griseus</t>
    <phoneticPr fontId="6" type="noConversion"/>
  </si>
  <si>
    <t>Thomomys bottae</t>
    <phoneticPr fontId="6" type="noConversion"/>
  </si>
  <si>
    <t>Callospermophilus lateralis</t>
    <phoneticPr fontId="6" type="noConversion"/>
  </si>
  <si>
    <t>Sequoia</t>
    <phoneticPr fontId="6" type="noConversion"/>
  </si>
  <si>
    <t>+115</t>
    <phoneticPr fontId="6" type="noConversion"/>
  </si>
  <si>
    <t>Sequoia</t>
  </si>
  <si>
    <t>No Change</t>
  </si>
  <si>
    <t>Microtus longicaudus</t>
    <phoneticPr fontId="6" type="noConversion"/>
  </si>
  <si>
    <t>+638</t>
    <phoneticPr fontId="6" type="noConversion"/>
  </si>
  <si>
    <t>Sorex monticolus</t>
    <phoneticPr fontId="6" type="noConversion"/>
  </si>
  <si>
    <t>Lower Limit Shift</t>
    <phoneticPr fontId="6" type="noConversion"/>
  </si>
  <si>
    <t>Upper Limit Shift</t>
    <phoneticPr fontId="6" type="noConversion"/>
  </si>
  <si>
    <t>Pattern</t>
    <phoneticPr fontId="6" type="noConversion"/>
  </si>
  <si>
    <t>Historical Life Zone (H, L)</t>
    <phoneticPr fontId="6" type="noConversion"/>
  </si>
  <si>
    <t>NET CHANGE</t>
    <phoneticPr fontId="6" type="noConversion"/>
  </si>
  <si>
    <t>Contract +L</t>
  </si>
  <si>
    <t>Tamiasciurus douglasi</t>
    <phoneticPr fontId="6" type="noConversion"/>
  </si>
  <si>
    <t>Thomomys monticola</t>
    <phoneticPr fontId="6" type="noConversion"/>
  </si>
  <si>
    <t>Urocitellus beldingi</t>
    <phoneticPr fontId="6" type="noConversion"/>
  </si>
  <si>
    <t>-217</t>
    <phoneticPr fontId="6" type="noConversion"/>
  </si>
  <si>
    <t>Contract -U</t>
  </si>
  <si>
    <t>Zapus princeps</t>
    <phoneticPr fontId="6" type="noConversion"/>
  </si>
  <si>
    <t>+138</t>
    <phoneticPr fontId="6" type="noConversion"/>
  </si>
  <si>
    <t>Microtus californicus</t>
    <phoneticPr fontId="6" type="noConversion"/>
  </si>
  <si>
    <t>L</t>
    <phoneticPr fontId="6" type="noConversion"/>
  </si>
  <si>
    <t>L</t>
    <phoneticPr fontId="6" type="noConversion"/>
  </si>
  <si>
    <t>Neotoma fuscipes</t>
    <phoneticPr fontId="6" type="noConversion"/>
  </si>
  <si>
    <t>+32</t>
    <phoneticPr fontId="6" type="noConversion"/>
  </si>
  <si>
    <t>+515</t>
    <phoneticPr fontId="6" type="noConversion"/>
  </si>
  <si>
    <t>Expand +U</t>
    <phoneticPr fontId="6" type="noConversion"/>
  </si>
  <si>
    <t>Otospermophilus beecheyi</t>
    <phoneticPr fontId="6" type="noConversion"/>
  </si>
  <si>
    <t>+734</t>
    <phoneticPr fontId="6" type="noConversion"/>
  </si>
  <si>
    <t>Expand +U</t>
  </si>
  <si>
    <t>Peromyscus boylii</t>
    <phoneticPr fontId="6" type="noConversion"/>
  </si>
  <si>
    <t>+89</t>
    <phoneticPr fontId="6" type="noConversion"/>
  </si>
  <si>
    <t>Peromyscus truei</t>
    <phoneticPr fontId="6" type="noConversion"/>
  </si>
  <si>
    <t>+529</t>
    <phoneticPr fontId="6" type="noConversion"/>
  </si>
  <si>
    <t>+408</t>
    <phoneticPr fontId="6" type="noConversion"/>
  </si>
  <si>
    <t>Shift +L+U</t>
  </si>
  <si>
    <t>Lassen</t>
    <phoneticPr fontId="6" type="noConversion"/>
  </si>
  <si>
    <t>Yosemite</t>
    <phoneticPr fontId="6" type="noConversion"/>
  </si>
  <si>
    <t>Sequoia</t>
    <phoneticPr fontId="6" type="noConversion"/>
  </si>
  <si>
    <t>ALL</t>
    <phoneticPr fontId="6" type="noConversion"/>
  </si>
  <si>
    <t>Low</t>
    <phoneticPr fontId="6" type="noConversion"/>
  </si>
  <si>
    <t>High</t>
    <phoneticPr fontId="6" type="noConversion"/>
  </si>
  <si>
    <t>up</t>
    <phoneticPr fontId="6" type="noConversion"/>
  </si>
  <si>
    <t>down</t>
    <phoneticPr fontId="6" type="noConversion"/>
  </si>
  <si>
    <t>Chi-square</t>
    <phoneticPr fontId="6" type="noConversion"/>
  </si>
  <si>
    <t>p-value</t>
    <phoneticPr fontId="6" type="noConversion"/>
  </si>
  <si>
    <t>up (n)</t>
    <phoneticPr fontId="6" type="noConversion"/>
  </si>
  <si>
    <t>down (n)</t>
    <phoneticPr fontId="6" type="noConversion"/>
  </si>
  <si>
    <t>up (%)</t>
    <phoneticPr fontId="6" type="noConversion"/>
  </si>
  <si>
    <t>down (%)</t>
    <phoneticPr fontId="6" type="noConversion"/>
  </si>
  <si>
    <t>Callospermophilus lateralis</t>
    <phoneticPr fontId="6" type="noConversion"/>
  </si>
  <si>
    <t>Lassen</t>
    <phoneticPr fontId="6" type="noConversion"/>
  </si>
  <si>
    <t>NO</t>
    <phoneticPr fontId="6" type="noConversion"/>
  </si>
  <si>
    <t>NO</t>
    <phoneticPr fontId="6" type="noConversion"/>
  </si>
  <si>
    <t>NO</t>
  </si>
  <si>
    <t>-800</t>
    <phoneticPr fontId="6" type="noConversion"/>
  </si>
  <si>
    <t>Contract +L, -U</t>
    <phoneticPr fontId="6" type="noConversion"/>
  </si>
  <si>
    <t>Sorex ornatus</t>
    <phoneticPr fontId="6" type="noConversion"/>
  </si>
  <si>
    <t>+1362</t>
    <phoneticPr fontId="6" type="noConversion"/>
  </si>
  <si>
    <t>Tamias merriami</t>
    <phoneticPr fontId="6" type="noConversion"/>
  </si>
  <si>
    <t>No Change</t>
    <phoneticPr fontId="6" type="noConversion"/>
  </si>
  <si>
    <t>N</t>
    <phoneticPr fontId="6" type="noConversion"/>
  </si>
  <si>
    <t>Yosemite</t>
    <phoneticPr fontId="6" type="noConversion"/>
  </si>
  <si>
    <t>+305</t>
    <phoneticPr fontId="6" type="noConversion"/>
  </si>
  <si>
    <t>Yosemite</t>
  </si>
  <si>
    <t>+644</t>
    <phoneticPr fontId="6" type="noConversion"/>
  </si>
  <si>
    <t>+580</t>
    <phoneticPr fontId="6" type="noConversion"/>
  </si>
  <si>
    <t>-807</t>
    <phoneticPr fontId="6" type="noConversion"/>
  </si>
  <si>
    <t>E</t>
    <phoneticPr fontId="6" type="noConversion"/>
  </si>
  <si>
    <t>Microtus montanus</t>
    <phoneticPr fontId="6" type="noConversion"/>
  </si>
  <si>
    <t>+133</t>
    <phoneticPr fontId="6" type="noConversion"/>
  </si>
  <si>
    <t>+66</t>
    <phoneticPr fontId="6" type="noConversion"/>
  </si>
  <si>
    <t>C</t>
  </si>
  <si>
    <t>NO</t>
    <phoneticPr fontId="6" type="noConversion"/>
  </si>
  <si>
    <t>W</t>
  </si>
  <si>
    <t>Shift +L</t>
    <phoneticPr fontId="6" type="noConversion"/>
  </si>
  <si>
    <t>C</t>
    <phoneticPr fontId="6" type="noConversion"/>
  </si>
  <si>
    <t>C</t>
    <phoneticPr fontId="6" type="noConversion"/>
  </si>
  <si>
    <t>Neotoma cinerea</t>
    <phoneticPr fontId="6" type="noConversion"/>
  </si>
  <si>
    <t>+202</t>
    <phoneticPr fontId="6" type="noConversion"/>
  </si>
  <si>
    <t>-709</t>
    <phoneticPr fontId="6" type="noConversion"/>
  </si>
  <si>
    <t>Contract +L, -U</t>
    <phoneticPr fontId="6" type="noConversion"/>
  </si>
  <si>
    <t>+981</t>
    <phoneticPr fontId="6" type="noConversion"/>
  </si>
  <si>
    <t>-360</t>
    <phoneticPr fontId="6" type="noConversion"/>
  </si>
  <si>
    <t>Contract +L-U</t>
  </si>
  <si>
    <t>C</t>
    <phoneticPr fontId="6" type="noConversion"/>
  </si>
  <si>
    <t>+399</t>
    <phoneticPr fontId="6" type="noConversion"/>
  </si>
  <si>
    <t>+213</t>
    <phoneticPr fontId="6" type="noConversion"/>
  </si>
  <si>
    <t>+787</t>
    <phoneticPr fontId="6" type="noConversion"/>
  </si>
  <si>
    <t>Dipodomys heermanni</t>
    <phoneticPr fontId="6" type="noConversion"/>
  </si>
  <si>
    <t>-247</t>
    <phoneticPr fontId="6" type="noConversion"/>
  </si>
  <si>
    <t>-126</t>
    <phoneticPr fontId="6" type="noConversion"/>
  </si>
  <si>
    <t>+374</t>
    <phoneticPr fontId="6" type="noConversion"/>
  </si>
  <si>
    <t>+836</t>
    <phoneticPr fontId="6" type="noConversion"/>
  </si>
  <si>
    <t>+110</t>
    <phoneticPr fontId="6" type="noConversion"/>
  </si>
  <si>
    <t>-492</t>
    <phoneticPr fontId="6" type="noConversion"/>
  </si>
  <si>
    <t>Expand -L</t>
    <phoneticPr fontId="6" type="noConversion"/>
  </si>
  <si>
    <t>Lassen Shifts</t>
  </si>
  <si>
    <t>Up</t>
  </si>
  <si>
    <t>Down</t>
  </si>
  <si>
    <t>lower limit</t>
  </si>
  <si>
    <t>upper limit</t>
  </si>
  <si>
    <t>Seqouia Shifts</t>
  </si>
  <si>
    <t>Yosemite Shifts</t>
  </si>
  <si>
    <t>SS</t>
    <phoneticPr fontId="6" type="noConversion"/>
  </si>
  <si>
    <t>LA</t>
    <phoneticPr fontId="6" type="noConversion"/>
  </si>
  <si>
    <t>YO</t>
    <phoneticPr fontId="6" type="noConversion"/>
  </si>
  <si>
    <t>Dipodomys agilis</t>
    <phoneticPr fontId="6" type="noConversion"/>
  </si>
  <si>
    <t>+307</t>
    <phoneticPr fontId="6" type="noConversion"/>
  </si>
  <si>
    <t>+465</t>
    <phoneticPr fontId="6" type="noConversion"/>
  </si>
  <si>
    <t>Neotoma macrotis</t>
    <phoneticPr fontId="6" type="noConversion"/>
  </si>
  <si>
    <t>+226</t>
    <phoneticPr fontId="6" type="noConversion"/>
  </si>
  <si>
    <t>-57</t>
    <phoneticPr fontId="6" type="noConversion"/>
  </si>
  <si>
    <t>+20</t>
    <phoneticPr fontId="6" type="noConversion"/>
  </si>
  <si>
    <t>-865</t>
    <phoneticPr fontId="6" type="noConversion"/>
  </si>
  <si>
    <t>-53</t>
    <phoneticPr fontId="6" type="noConversion"/>
  </si>
  <si>
    <t>-207</t>
    <phoneticPr fontId="6" type="noConversion"/>
  </si>
  <si>
    <t>Contract -U</t>
    <phoneticPr fontId="6" type="noConversion"/>
  </si>
  <si>
    <t>-861</t>
    <phoneticPr fontId="6" type="noConversion"/>
  </si>
  <si>
    <t>+700</t>
    <phoneticPr fontId="6" type="noConversion"/>
  </si>
  <si>
    <t>Ochotona princeps</t>
    <phoneticPr fontId="6" type="noConversion"/>
  </si>
  <si>
    <t>Contract +L,-U</t>
    <phoneticPr fontId="6" type="noConversion"/>
  </si>
  <si>
    <t>Peromyscus maniculatus</t>
    <phoneticPr fontId="6" type="noConversion"/>
  </si>
  <si>
    <t>No Change</t>
    <phoneticPr fontId="6" type="noConversion"/>
  </si>
  <si>
    <t>N</t>
    <phoneticPr fontId="6" type="noConversion"/>
  </si>
  <si>
    <t>Sorex palustris</t>
    <phoneticPr fontId="6" type="noConversion"/>
  </si>
  <si>
    <t>-975</t>
    <phoneticPr fontId="6" type="noConversion"/>
  </si>
  <si>
    <t>-1906</t>
    <phoneticPr fontId="6" type="noConversion"/>
  </si>
  <si>
    <t>Contract -L,-U</t>
    <phoneticPr fontId="6" type="noConversion"/>
  </si>
  <si>
    <t>Sorex trowbridgii</t>
    <phoneticPr fontId="6" type="noConversion"/>
  </si>
  <si>
    <t>N</t>
    <phoneticPr fontId="6" type="noConversion"/>
  </si>
  <si>
    <t>-971</t>
    <phoneticPr fontId="6" type="noConversion"/>
  </si>
  <si>
    <t>Expand -L</t>
  </si>
  <si>
    <t>+506</t>
    <phoneticPr fontId="6" type="noConversion"/>
  </si>
  <si>
    <t>-54</t>
    <phoneticPr fontId="6" type="noConversion"/>
  </si>
  <si>
    <t>+497</t>
    <phoneticPr fontId="6" type="noConversion"/>
  </si>
  <si>
    <t>+36</t>
    <phoneticPr fontId="6" type="noConversion"/>
  </si>
  <si>
    <t>-81</t>
    <phoneticPr fontId="6" type="noConversion"/>
  </si>
  <si>
    <t>Tamias quadrimaculatus</t>
    <phoneticPr fontId="6" type="noConversion"/>
  </si>
  <si>
    <t>Sorex vagrans</t>
    <phoneticPr fontId="6" type="noConversion"/>
  </si>
  <si>
    <t>Lead</t>
  </si>
  <si>
    <t>Sum</t>
  </si>
  <si>
    <t>percent</t>
  </si>
  <si>
    <t>TOTAL</t>
  </si>
  <si>
    <t>low elev</t>
  </si>
  <si>
    <t>high elev</t>
  </si>
  <si>
    <t>LOW ELEV SPECIES</t>
  </si>
  <si>
    <t>HIGH ELEV SPECIES</t>
  </si>
  <si>
    <t>CHI Square TEST LAG or LEAD</t>
  </si>
  <si>
    <t>Lag</t>
  </si>
  <si>
    <t>ANY SHIFT</t>
  </si>
  <si>
    <t>N</t>
  </si>
  <si>
    <t>Y</t>
  </si>
  <si>
    <t>LASSEN</t>
  </si>
  <si>
    <t>LOW</t>
  </si>
  <si>
    <t>HIGH</t>
  </si>
  <si>
    <t>SPECIES ANY SHIFT</t>
  </si>
  <si>
    <t>SS</t>
  </si>
  <si>
    <t>YO</t>
  </si>
  <si>
    <t>YES</t>
  </si>
  <si>
    <t>ALL</t>
  </si>
  <si>
    <t>N-Low</t>
  </si>
  <si>
    <t>N-High</t>
  </si>
  <si>
    <t>S-Low</t>
  </si>
  <si>
    <t>S-High</t>
  </si>
  <si>
    <t>C-Low</t>
  </si>
  <si>
    <t>C-High</t>
  </si>
  <si>
    <t>ALL-Low</t>
  </si>
  <si>
    <t>ALL-High</t>
  </si>
  <si>
    <t>All-Low</t>
  </si>
  <si>
    <t>All-High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</si>
</sst>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i/>
      <sz val="10"/>
      <name val="Verdana"/>
    </font>
    <font>
      <sz val="10"/>
      <name val="Verdana"/>
    </font>
    <font>
      <sz val="8"/>
      <name val="Verdana"/>
    </font>
    <font>
      <b/>
      <i/>
      <u/>
      <sz val="10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u/>
      <sz val="10"/>
      <name val="Verdan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6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1" xfId="0" applyFont="1" applyBorder="1" applyAlignment="1">
      <alignment vertical="top"/>
    </xf>
    <xf numFmtId="0" fontId="0" fillId="0" borderId="1" xfId="0" applyBorder="1"/>
    <xf numFmtId="49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7" fillId="0" borderId="0" xfId="0" applyFont="1" applyAlignment="1">
      <alignment vertical="top"/>
    </xf>
    <xf numFmtId="0" fontId="3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vertical="top"/>
    </xf>
    <xf numFmtId="49" fontId="0" fillId="0" borderId="0" xfId="0" applyNumberFormat="1" applyFill="1" applyAlignment="1">
      <alignment horizontal="center"/>
    </xf>
    <xf numFmtId="49" fontId="5" fillId="0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center"/>
    </xf>
    <xf numFmtId="0" fontId="3" fillId="0" borderId="2" xfId="0" applyFont="1" applyBorder="1"/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vertical="top"/>
    </xf>
    <xf numFmtId="0" fontId="2" fillId="0" borderId="0" xfId="0" applyFont="1"/>
    <xf numFmtId="0" fontId="1" fillId="0" borderId="0" xfId="0" applyFont="1"/>
    <xf numFmtId="49" fontId="0" fillId="0" borderId="0" xfId="0" applyNumberFormat="1" applyFont="1" applyFill="1" applyAlignment="1">
      <alignment horizontal="center"/>
    </xf>
    <xf numFmtId="0" fontId="0" fillId="0" borderId="0" xfId="0" applyFont="1"/>
    <xf numFmtId="0" fontId="10" fillId="0" borderId="0" xfId="0" applyFont="1"/>
    <xf numFmtId="49" fontId="0" fillId="0" borderId="0" xfId="0" applyNumberFormat="1" applyFont="1" applyAlignment="1">
      <alignment horizontal="center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chartsheet" Target="chartsheets/sheet5.xml"/><Relationship Id="rId6" Type="http://schemas.openxmlformats.org/officeDocument/2006/relationships/chartsheet" Target="chartsheets/sheet6.xml"/><Relationship Id="rId7" Type="http://schemas.openxmlformats.org/officeDocument/2006/relationships/chartsheet" Target="chartsheets/sheet7.xml"/><Relationship Id="rId8" Type="http://schemas.openxmlformats.org/officeDocument/2006/relationships/worksheet" Target="worksheets/sheet1.xml"/><Relationship Id="rId9" Type="http://schemas.openxmlformats.org/officeDocument/2006/relationships/worksheet" Target="worksheets/sheet2.xml"/><Relationship Id="rId10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'Shifts Stats'!$T$2</c:f>
              <c:strCache>
                <c:ptCount val="1"/>
                <c:pt idx="0">
                  <c:v>No Change</c:v>
                </c:pt>
              </c:strCache>
            </c:strRef>
          </c:tx>
          <c:invertIfNegative val="0"/>
          <c:cat>
            <c:strRef>
              <c:f>'Shifts Stats'!$S$3:$S$6</c:f>
              <c:strCache>
                <c:ptCount val="4"/>
                <c:pt idx="0">
                  <c:v>lower limit</c:v>
                </c:pt>
                <c:pt idx="1">
                  <c:v>upper limit</c:v>
                </c:pt>
                <c:pt idx="2">
                  <c:v>lower limit</c:v>
                </c:pt>
                <c:pt idx="3">
                  <c:v>upper limit</c:v>
                </c:pt>
              </c:strCache>
            </c:strRef>
          </c:cat>
          <c:val>
            <c:numRef>
              <c:f>'Shifts Stats'!$T$3:$T$6</c:f>
              <c:numCache>
                <c:formatCode>General</c:formatCode>
                <c:ptCount val="4"/>
                <c:pt idx="0">
                  <c:v>0.875</c:v>
                </c:pt>
                <c:pt idx="1">
                  <c:v>0.375</c:v>
                </c:pt>
                <c:pt idx="2">
                  <c:v>0.647058823529412</c:v>
                </c:pt>
                <c:pt idx="3">
                  <c:v>0.705882352941176</c:v>
                </c:pt>
              </c:numCache>
            </c:numRef>
          </c:val>
        </c:ser>
        <c:ser>
          <c:idx val="1"/>
          <c:order val="1"/>
          <c:tx>
            <c:strRef>
              <c:f>'Shifts Stats'!$U$2</c:f>
              <c:strCache>
                <c:ptCount val="1"/>
                <c:pt idx="0">
                  <c:v>Up</c:v>
                </c:pt>
              </c:strCache>
            </c:strRef>
          </c:tx>
          <c:invertIfNegative val="0"/>
          <c:cat>
            <c:strRef>
              <c:f>'Shifts Stats'!$S$3:$S$6</c:f>
              <c:strCache>
                <c:ptCount val="4"/>
                <c:pt idx="0">
                  <c:v>lower limit</c:v>
                </c:pt>
                <c:pt idx="1">
                  <c:v>upper limit</c:v>
                </c:pt>
                <c:pt idx="2">
                  <c:v>lower limit</c:v>
                </c:pt>
                <c:pt idx="3">
                  <c:v>upper limit</c:v>
                </c:pt>
              </c:strCache>
            </c:strRef>
          </c:cat>
          <c:val>
            <c:numRef>
              <c:f>'Shifts Stats'!$U$3:$U$6</c:f>
              <c:numCache>
                <c:formatCode>General</c:formatCode>
                <c:ptCount val="4"/>
                <c:pt idx="0">
                  <c:v>0.125</c:v>
                </c:pt>
                <c:pt idx="1">
                  <c:v>0.5</c:v>
                </c:pt>
                <c:pt idx="2">
                  <c:v>0.235294117647059</c:v>
                </c:pt>
                <c:pt idx="3">
                  <c:v>0.117647058823529</c:v>
                </c:pt>
              </c:numCache>
            </c:numRef>
          </c:val>
        </c:ser>
        <c:ser>
          <c:idx val="2"/>
          <c:order val="2"/>
          <c:tx>
            <c:strRef>
              <c:f>'Shifts Stats'!$V$2</c:f>
              <c:strCache>
                <c:ptCount val="1"/>
                <c:pt idx="0">
                  <c:v>Down</c:v>
                </c:pt>
              </c:strCache>
            </c:strRef>
          </c:tx>
          <c:invertIfNegative val="0"/>
          <c:cat>
            <c:strRef>
              <c:f>'Shifts Stats'!$S$3:$S$6</c:f>
              <c:strCache>
                <c:ptCount val="4"/>
                <c:pt idx="0">
                  <c:v>lower limit</c:v>
                </c:pt>
                <c:pt idx="1">
                  <c:v>upper limit</c:v>
                </c:pt>
                <c:pt idx="2">
                  <c:v>lower limit</c:v>
                </c:pt>
                <c:pt idx="3">
                  <c:v>upper limit</c:v>
                </c:pt>
              </c:strCache>
            </c:strRef>
          </c:cat>
          <c:val>
            <c:numRef>
              <c:f>'Shifts Stats'!$V$3:$V$6</c:f>
              <c:numCache>
                <c:formatCode>General</c:formatCode>
                <c:ptCount val="4"/>
                <c:pt idx="0">
                  <c:v>0.0</c:v>
                </c:pt>
                <c:pt idx="1">
                  <c:v>0.125</c:v>
                </c:pt>
                <c:pt idx="2">
                  <c:v>0.117647058823529</c:v>
                </c:pt>
                <c:pt idx="3">
                  <c:v>0.176470588235294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4557544"/>
        <c:axId val="635196136"/>
      </c:barChart>
      <c:catAx>
        <c:axId val="634557544"/>
        <c:scaling>
          <c:orientation val="minMax"/>
        </c:scaling>
        <c:delete val="0"/>
        <c:axPos val="b"/>
        <c:majorTickMark val="out"/>
        <c:minorTickMark val="none"/>
        <c:tickLblPos val="nextTo"/>
        <c:crossAx val="635196136"/>
        <c:crosses val="autoZero"/>
        <c:auto val="1"/>
        <c:lblAlgn val="ctr"/>
        <c:lblOffset val="100"/>
        <c:noMultiLvlLbl val="0"/>
      </c:catAx>
      <c:valAx>
        <c:axId val="635196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4557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'Shifts Stats'!$T$2</c:f>
              <c:strCache>
                <c:ptCount val="1"/>
                <c:pt idx="0">
                  <c:v>No Change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'Shifts Stats'!$S$3:$S$7</c:f>
              <c:strCache>
                <c:ptCount val="5"/>
                <c:pt idx="0">
                  <c:v>lower limit</c:v>
                </c:pt>
                <c:pt idx="1">
                  <c:v>upper limit</c:v>
                </c:pt>
                <c:pt idx="2">
                  <c:v>lower limit</c:v>
                </c:pt>
                <c:pt idx="3">
                  <c:v>upper limit</c:v>
                </c:pt>
                <c:pt idx="4">
                  <c:v>All Shifts</c:v>
                </c:pt>
              </c:strCache>
            </c:strRef>
          </c:cat>
          <c:val>
            <c:numRef>
              <c:f>'Shifts Stats'!$T$3:$T$7</c:f>
              <c:numCache>
                <c:formatCode>General</c:formatCode>
                <c:ptCount val="5"/>
                <c:pt idx="0">
                  <c:v>0.875</c:v>
                </c:pt>
                <c:pt idx="1">
                  <c:v>0.375</c:v>
                </c:pt>
                <c:pt idx="2">
                  <c:v>0.647058823529412</c:v>
                </c:pt>
                <c:pt idx="3">
                  <c:v>0.705882352941176</c:v>
                </c:pt>
              </c:numCache>
            </c:numRef>
          </c:val>
        </c:ser>
        <c:ser>
          <c:idx val="1"/>
          <c:order val="1"/>
          <c:tx>
            <c:strRef>
              <c:f>'Shifts Stats'!$U$2</c:f>
              <c:strCache>
                <c:ptCount val="1"/>
                <c:pt idx="0">
                  <c:v>Up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'Shifts Stats'!$S$3:$S$7</c:f>
              <c:strCache>
                <c:ptCount val="5"/>
                <c:pt idx="0">
                  <c:v>lower limit</c:v>
                </c:pt>
                <c:pt idx="1">
                  <c:v>upper limit</c:v>
                </c:pt>
                <c:pt idx="2">
                  <c:v>lower limit</c:v>
                </c:pt>
                <c:pt idx="3">
                  <c:v>upper limit</c:v>
                </c:pt>
                <c:pt idx="4">
                  <c:v>All Shifts</c:v>
                </c:pt>
              </c:strCache>
            </c:strRef>
          </c:cat>
          <c:val>
            <c:numRef>
              <c:f>'Shifts Stats'!$U$3:$U$7</c:f>
              <c:numCache>
                <c:formatCode>General</c:formatCode>
                <c:ptCount val="5"/>
                <c:pt idx="0">
                  <c:v>0.125</c:v>
                </c:pt>
                <c:pt idx="1">
                  <c:v>0.5</c:v>
                </c:pt>
                <c:pt idx="2">
                  <c:v>0.235294117647059</c:v>
                </c:pt>
                <c:pt idx="3">
                  <c:v>0.117647058823529</c:v>
                </c:pt>
                <c:pt idx="4">
                  <c:v>0.647058823529412</c:v>
                </c:pt>
              </c:numCache>
            </c:numRef>
          </c:val>
        </c:ser>
        <c:ser>
          <c:idx val="2"/>
          <c:order val="2"/>
          <c:tx>
            <c:strRef>
              <c:f>'Shifts Stats'!$V$2</c:f>
              <c:strCache>
                <c:ptCount val="1"/>
                <c:pt idx="0">
                  <c:v>Down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'Shifts Stats'!$S$3:$S$7</c:f>
              <c:strCache>
                <c:ptCount val="5"/>
                <c:pt idx="0">
                  <c:v>lower limit</c:v>
                </c:pt>
                <c:pt idx="1">
                  <c:v>upper limit</c:v>
                </c:pt>
                <c:pt idx="2">
                  <c:v>lower limit</c:v>
                </c:pt>
                <c:pt idx="3">
                  <c:v>upper limit</c:v>
                </c:pt>
                <c:pt idx="4">
                  <c:v>All Shifts</c:v>
                </c:pt>
              </c:strCache>
            </c:strRef>
          </c:cat>
          <c:val>
            <c:numRef>
              <c:f>'Shifts Stats'!$V$3:$V$7</c:f>
              <c:numCache>
                <c:formatCode>General</c:formatCode>
                <c:ptCount val="5"/>
                <c:pt idx="0">
                  <c:v>0.0</c:v>
                </c:pt>
                <c:pt idx="1">
                  <c:v>0.125</c:v>
                </c:pt>
                <c:pt idx="2">
                  <c:v>0.117647058823529</c:v>
                </c:pt>
                <c:pt idx="3">
                  <c:v>0.176470588235294</c:v>
                </c:pt>
                <c:pt idx="4">
                  <c:v>0.352941176470588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4433176"/>
        <c:axId val="634436152"/>
      </c:barChart>
      <c:catAx>
        <c:axId val="634433176"/>
        <c:scaling>
          <c:orientation val="minMax"/>
        </c:scaling>
        <c:delete val="0"/>
        <c:axPos val="b"/>
        <c:majorTickMark val="out"/>
        <c:minorTickMark val="none"/>
        <c:tickLblPos val="nextTo"/>
        <c:crossAx val="634436152"/>
        <c:crosses val="autoZero"/>
        <c:auto val="1"/>
        <c:lblAlgn val="ctr"/>
        <c:lblOffset val="100"/>
        <c:noMultiLvlLbl val="0"/>
      </c:catAx>
      <c:valAx>
        <c:axId val="634436152"/>
        <c:scaling>
          <c:orientation val="minMax"/>
          <c:max val="1.0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crossAx val="634433176"/>
        <c:crosses val="autoZero"/>
        <c:crossBetween val="between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'Shifts Stats'!$T$18</c:f>
              <c:strCache>
                <c:ptCount val="1"/>
                <c:pt idx="0">
                  <c:v>No Change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'Shifts Stats'!$S$19:$S$23</c:f>
              <c:strCache>
                <c:ptCount val="5"/>
                <c:pt idx="0">
                  <c:v>lower limit</c:v>
                </c:pt>
                <c:pt idx="1">
                  <c:v>upper limit</c:v>
                </c:pt>
                <c:pt idx="2">
                  <c:v>lower limit</c:v>
                </c:pt>
                <c:pt idx="3">
                  <c:v>upper limit</c:v>
                </c:pt>
                <c:pt idx="4">
                  <c:v>All Shifts</c:v>
                </c:pt>
              </c:strCache>
            </c:strRef>
          </c:cat>
          <c:val>
            <c:numRef>
              <c:f>'Shifts Stats'!$T$19:$T$23</c:f>
              <c:numCache>
                <c:formatCode>General</c:formatCode>
                <c:ptCount val="5"/>
                <c:pt idx="0">
                  <c:v>0.833333333333333</c:v>
                </c:pt>
                <c:pt idx="1">
                  <c:v>0.583333333333333</c:v>
                </c:pt>
                <c:pt idx="2">
                  <c:v>0.473684210526316</c:v>
                </c:pt>
                <c:pt idx="3">
                  <c:v>0.894736842105263</c:v>
                </c:pt>
              </c:numCache>
            </c:numRef>
          </c:val>
        </c:ser>
        <c:ser>
          <c:idx val="1"/>
          <c:order val="1"/>
          <c:tx>
            <c:strRef>
              <c:f>'Shifts Stats'!$U$18</c:f>
              <c:strCache>
                <c:ptCount val="1"/>
                <c:pt idx="0">
                  <c:v>Up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'Shifts Stats'!$S$19:$S$23</c:f>
              <c:strCache>
                <c:ptCount val="5"/>
                <c:pt idx="0">
                  <c:v>lower limit</c:v>
                </c:pt>
                <c:pt idx="1">
                  <c:v>upper limit</c:v>
                </c:pt>
                <c:pt idx="2">
                  <c:v>lower limit</c:v>
                </c:pt>
                <c:pt idx="3">
                  <c:v>upper limit</c:v>
                </c:pt>
                <c:pt idx="4">
                  <c:v>All Shifts</c:v>
                </c:pt>
              </c:strCache>
            </c:strRef>
          </c:cat>
          <c:val>
            <c:numRef>
              <c:f>'Shifts Stats'!$U$19:$U$23</c:f>
              <c:numCache>
                <c:formatCode>General</c:formatCode>
                <c:ptCount val="5"/>
                <c:pt idx="0">
                  <c:v>0.0833333333333333</c:v>
                </c:pt>
                <c:pt idx="1">
                  <c:v>0.25</c:v>
                </c:pt>
                <c:pt idx="2">
                  <c:v>0.473684210526316</c:v>
                </c:pt>
                <c:pt idx="3">
                  <c:v>0.0</c:v>
                </c:pt>
                <c:pt idx="4">
                  <c:v>0.684210526315789</c:v>
                </c:pt>
              </c:numCache>
            </c:numRef>
          </c:val>
        </c:ser>
        <c:ser>
          <c:idx val="2"/>
          <c:order val="2"/>
          <c:tx>
            <c:strRef>
              <c:f>'Shifts Stats'!$V$18</c:f>
              <c:strCache>
                <c:ptCount val="1"/>
                <c:pt idx="0">
                  <c:v>Down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'Shifts Stats'!$S$19:$S$23</c:f>
              <c:strCache>
                <c:ptCount val="5"/>
                <c:pt idx="0">
                  <c:v>lower limit</c:v>
                </c:pt>
                <c:pt idx="1">
                  <c:v>upper limit</c:v>
                </c:pt>
                <c:pt idx="2">
                  <c:v>lower limit</c:v>
                </c:pt>
                <c:pt idx="3">
                  <c:v>upper limit</c:v>
                </c:pt>
                <c:pt idx="4">
                  <c:v>All Shifts</c:v>
                </c:pt>
              </c:strCache>
            </c:strRef>
          </c:cat>
          <c:val>
            <c:numRef>
              <c:f>'Shifts Stats'!$V$19:$V$23</c:f>
              <c:numCache>
                <c:formatCode>General</c:formatCode>
                <c:ptCount val="5"/>
                <c:pt idx="0">
                  <c:v>0.0833333333333333</c:v>
                </c:pt>
                <c:pt idx="1">
                  <c:v>0.166666666666667</c:v>
                </c:pt>
                <c:pt idx="2">
                  <c:v>0.0526315789473684</c:v>
                </c:pt>
                <c:pt idx="3">
                  <c:v>0.105263157894737</c:v>
                </c:pt>
                <c:pt idx="4">
                  <c:v>0.31578947368421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4731016"/>
        <c:axId val="532264792"/>
      </c:barChart>
      <c:catAx>
        <c:axId val="634731016"/>
        <c:scaling>
          <c:orientation val="minMax"/>
        </c:scaling>
        <c:delete val="0"/>
        <c:axPos val="b"/>
        <c:majorTickMark val="out"/>
        <c:minorTickMark val="none"/>
        <c:tickLblPos val="nextTo"/>
        <c:crossAx val="532264792"/>
        <c:crosses val="autoZero"/>
        <c:auto val="1"/>
        <c:lblAlgn val="ctr"/>
        <c:lblOffset val="100"/>
        <c:noMultiLvlLbl val="0"/>
      </c:catAx>
      <c:valAx>
        <c:axId val="532264792"/>
        <c:scaling>
          <c:orientation val="minMax"/>
          <c:max val="1.0"/>
        </c:scaling>
        <c:delete val="0"/>
        <c:axPos val="l"/>
        <c:numFmt formatCode="General" sourceLinked="1"/>
        <c:majorTickMark val="out"/>
        <c:minorTickMark val="none"/>
        <c:tickLblPos val="nextTo"/>
        <c:crossAx val="634731016"/>
        <c:crosses val="autoZero"/>
        <c:crossBetween val="between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'Shifts Stats'!$T$10</c:f>
              <c:strCache>
                <c:ptCount val="1"/>
                <c:pt idx="0">
                  <c:v>No Change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'Shifts Stats'!$S$11:$S$15</c:f>
              <c:strCache>
                <c:ptCount val="5"/>
                <c:pt idx="0">
                  <c:v>lower limit</c:v>
                </c:pt>
                <c:pt idx="1">
                  <c:v>upper limit</c:v>
                </c:pt>
                <c:pt idx="2">
                  <c:v>lower limit</c:v>
                </c:pt>
                <c:pt idx="3">
                  <c:v>upper limit</c:v>
                </c:pt>
                <c:pt idx="4">
                  <c:v>All Shifts</c:v>
                </c:pt>
              </c:strCache>
            </c:strRef>
          </c:cat>
          <c:val>
            <c:numRef>
              <c:f>'Shifts Stats'!$T$11:$T$15</c:f>
              <c:numCache>
                <c:formatCode>General</c:formatCode>
                <c:ptCount val="5"/>
                <c:pt idx="0">
                  <c:v>0.833333333333333</c:v>
                </c:pt>
                <c:pt idx="1">
                  <c:v>0.333333333333333</c:v>
                </c:pt>
                <c:pt idx="2">
                  <c:v>0.571428571428571</c:v>
                </c:pt>
                <c:pt idx="3">
                  <c:v>0.928571428571429</c:v>
                </c:pt>
              </c:numCache>
            </c:numRef>
          </c:val>
        </c:ser>
        <c:ser>
          <c:idx val="1"/>
          <c:order val="1"/>
          <c:tx>
            <c:strRef>
              <c:f>'Shifts Stats'!$U$10</c:f>
              <c:strCache>
                <c:ptCount val="1"/>
                <c:pt idx="0">
                  <c:v>Up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'Shifts Stats'!$S$11:$S$15</c:f>
              <c:strCache>
                <c:ptCount val="5"/>
                <c:pt idx="0">
                  <c:v>lower limit</c:v>
                </c:pt>
                <c:pt idx="1">
                  <c:v>upper limit</c:v>
                </c:pt>
                <c:pt idx="2">
                  <c:v>lower limit</c:v>
                </c:pt>
                <c:pt idx="3">
                  <c:v>upper limit</c:v>
                </c:pt>
                <c:pt idx="4">
                  <c:v>All Shifts</c:v>
                </c:pt>
              </c:strCache>
            </c:strRef>
          </c:cat>
          <c:val>
            <c:numRef>
              <c:f>'Shifts Stats'!$U$11:$U$15</c:f>
              <c:numCache>
                <c:formatCode>General</c:formatCode>
                <c:ptCount val="5"/>
                <c:pt idx="0">
                  <c:v>0.166666666666667</c:v>
                </c:pt>
                <c:pt idx="1">
                  <c:v>0.333333333333333</c:v>
                </c:pt>
                <c:pt idx="2">
                  <c:v>0.428571428571429</c:v>
                </c:pt>
                <c:pt idx="3">
                  <c:v>0.0714285714285714</c:v>
                </c:pt>
                <c:pt idx="4">
                  <c:v>0.764705882352941</c:v>
                </c:pt>
              </c:numCache>
            </c:numRef>
          </c:val>
        </c:ser>
        <c:ser>
          <c:idx val="2"/>
          <c:order val="2"/>
          <c:tx>
            <c:strRef>
              <c:f>'Shifts Stats'!$V$10</c:f>
              <c:strCache>
                <c:ptCount val="1"/>
                <c:pt idx="0">
                  <c:v>Down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'Shifts Stats'!$S$11:$S$15</c:f>
              <c:strCache>
                <c:ptCount val="5"/>
                <c:pt idx="0">
                  <c:v>lower limit</c:v>
                </c:pt>
                <c:pt idx="1">
                  <c:v>upper limit</c:v>
                </c:pt>
                <c:pt idx="2">
                  <c:v>lower limit</c:v>
                </c:pt>
                <c:pt idx="3">
                  <c:v>upper limit</c:v>
                </c:pt>
                <c:pt idx="4">
                  <c:v>All Shifts</c:v>
                </c:pt>
              </c:strCache>
            </c:strRef>
          </c:cat>
          <c:val>
            <c:numRef>
              <c:f>'Shifts Stats'!$V$11:$V$15</c:f>
              <c:numCache>
                <c:formatCode>General</c:formatCode>
                <c:ptCount val="5"/>
                <c:pt idx="0">
                  <c:v>0.0</c:v>
                </c:pt>
                <c:pt idx="1">
                  <c:v>0.333333333333333</c:v>
                </c:pt>
                <c:pt idx="2">
                  <c:v>0.0</c:v>
                </c:pt>
                <c:pt idx="3">
                  <c:v>0.0</c:v>
                </c:pt>
                <c:pt idx="4">
                  <c:v>0.235294117647059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4785816"/>
        <c:axId val="635393048"/>
      </c:barChart>
      <c:catAx>
        <c:axId val="634785816"/>
        <c:scaling>
          <c:orientation val="minMax"/>
        </c:scaling>
        <c:delete val="0"/>
        <c:axPos val="b"/>
        <c:majorTickMark val="out"/>
        <c:minorTickMark val="none"/>
        <c:tickLblPos val="nextTo"/>
        <c:crossAx val="635393048"/>
        <c:crosses val="autoZero"/>
        <c:auto val="1"/>
        <c:lblAlgn val="ctr"/>
        <c:lblOffset val="100"/>
        <c:noMultiLvlLbl val="0"/>
      </c:catAx>
      <c:valAx>
        <c:axId val="635393048"/>
        <c:scaling>
          <c:orientation val="minMax"/>
          <c:max val="1.0"/>
        </c:scaling>
        <c:delete val="0"/>
        <c:axPos val="l"/>
        <c:numFmt formatCode="General" sourceLinked="1"/>
        <c:majorTickMark val="out"/>
        <c:minorTickMark val="none"/>
        <c:tickLblPos val="nextTo"/>
        <c:crossAx val="634785816"/>
        <c:crosses val="autoZero"/>
        <c:crossBetween val="between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'Shifts Stats'!$Z$28</c:f>
              <c:strCache>
                <c:ptCount val="1"/>
                <c:pt idx="0">
                  <c:v>up (%)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multiLvlStrRef>
              <c:f>'Shifts Stats'!$X$29:$Y$34</c:f>
              <c:multiLvlStrCache>
                <c:ptCount val="6"/>
                <c:lvl>
                  <c:pt idx="0">
                    <c:v>Low</c:v>
                  </c:pt>
                  <c:pt idx="1">
                    <c:v>High</c:v>
                  </c:pt>
                  <c:pt idx="2">
                    <c:v>Low</c:v>
                  </c:pt>
                  <c:pt idx="3">
                    <c:v>High</c:v>
                  </c:pt>
                  <c:pt idx="4">
                    <c:v>Low</c:v>
                  </c:pt>
                  <c:pt idx="5">
                    <c:v>High</c:v>
                  </c:pt>
                </c:lvl>
                <c:lvl>
                  <c:pt idx="0">
                    <c:v>Lassen</c:v>
                  </c:pt>
                  <c:pt idx="1">
                    <c:v>Lassen</c:v>
                  </c:pt>
                  <c:pt idx="2">
                    <c:v>Yosemite</c:v>
                  </c:pt>
                  <c:pt idx="3">
                    <c:v>Yosemite</c:v>
                  </c:pt>
                  <c:pt idx="4">
                    <c:v>Sequoia</c:v>
                  </c:pt>
                  <c:pt idx="5">
                    <c:v>Sequoia</c:v>
                  </c:pt>
                </c:lvl>
              </c:multiLvlStrCache>
            </c:multiLvlStrRef>
          </c:cat>
          <c:val>
            <c:numRef>
              <c:f>'Shifts Stats'!$Z$29:$Z$34</c:f>
              <c:numCache>
                <c:formatCode>General</c:formatCode>
                <c:ptCount val="6"/>
                <c:pt idx="0">
                  <c:v>0.833333333333333</c:v>
                </c:pt>
                <c:pt idx="1">
                  <c:v>0.545454545454545</c:v>
                </c:pt>
                <c:pt idx="2">
                  <c:v>0.571428571428571</c:v>
                </c:pt>
                <c:pt idx="3">
                  <c:v>0.769230769230769</c:v>
                </c:pt>
                <c:pt idx="4">
                  <c:v>0.666666666666667</c:v>
                </c:pt>
                <c:pt idx="5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'Shifts Stats'!$AA$28</c:f>
              <c:strCache>
                <c:ptCount val="1"/>
                <c:pt idx="0">
                  <c:v>down (%)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multiLvlStrRef>
              <c:f>'Shifts Stats'!$X$29:$Y$34</c:f>
              <c:multiLvlStrCache>
                <c:ptCount val="6"/>
                <c:lvl>
                  <c:pt idx="0">
                    <c:v>Low</c:v>
                  </c:pt>
                  <c:pt idx="1">
                    <c:v>High</c:v>
                  </c:pt>
                  <c:pt idx="2">
                    <c:v>Low</c:v>
                  </c:pt>
                  <c:pt idx="3">
                    <c:v>High</c:v>
                  </c:pt>
                  <c:pt idx="4">
                    <c:v>Low</c:v>
                  </c:pt>
                  <c:pt idx="5">
                    <c:v>High</c:v>
                  </c:pt>
                </c:lvl>
                <c:lvl>
                  <c:pt idx="0">
                    <c:v>Lassen</c:v>
                  </c:pt>
                  <c:pt idx="1">
                    <c:v>Lassen</c:v>
                  </c:pt>
                  <c:pt idx="2">
                    <c:v>Yosemite</c:v>
                  </c:pt>
                  <c:pt idx="3">
                    <c:v>Yosemite</c:v>
                  </c:pt>
                  <c:pt idx="4">
                    <c:v>Sequoia</c:v>
                  </c:pt>
                  <c:pt idx="5">
                    <c:v>Sequoia</c:v>
                  </c:pt>
                </c:lvl>
              </c:multiLvlStrCache>
            </c:multiLvlStrRef>
          </c:cat>
          <c:val>
            <c:numRef>
              <c:f>'Shifts Stats'!$AA$29:$AA$34</c:f>
              <c:numCache>
                <c:formatCode>General</c:formatCode>
                <c:ptCount val="6"/>
                <c:pt idx="0">
                  <c:v>0.166666666666667</c:v>
                </c:pt>
                <c:pt idx="1">
                  <c:v>0.454545454545454</c:v>
                </c:pt>
                <c:pt idx="2">
                  <c:v>0.428571428571429</c:v>
                </c:pt>
                <c:pt idx="3">
                  <c:v>0.230769230769231</c:v>
                </c:pt>
                <c:pt idx="4">
                  <c:v>0.333333333333333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6740008"/>
        <c:axId val="4767080"/>
      </c:barChart>
      <c:catAx>
        <c:axId val="54674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4767080"/>
        <c:crosses val="autoZero"/>
        <c:auto val="1"/>
        <c:lblAlgn val="ctr"/>
        <c:lblOffset val="100"/>
        <c:noMultiLvlLbl val="0"/>
      </c:catAx>
      <c:valAx>
        <c:axId val="4767080"/>
        <c:scaling>
          <c:orientation val="minMax"/>
          <c:max val="1.0"/>
        </c:scaling>
        <c:delete val="0"/>
        <c:axPos val="l"/>
        <c:numFmt formatCode="General" sourceLinked="1"/>
        <c:majorTickMark val="out"/>
        <c:minorTickMark val="none"/>
        <c:tickLblPos val="nextTo"/>
        <c:crossAx val="546740008"/>
        <c:crosses val="autoZero"/>
        <c:crossBetween val="between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'Shifts Stats'!$U$28</c:f>
              <c:strCache>
                <c:ptCount val="1"/>
                <c:pt idx="0">
                  <c:v>up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'Shifts Stats'!$T$29:$T$36</c:f>
              <c:strCache>
                <c:ptCount val="8"/>
                <c:pt idx="0">
                  <c:v>N-Low</c:v>
                </c:pt>
                <c:pt idx="1">
                  <c:v>N-High</c:v>
                </c:pt>
                <c:pt idx="2">
                  <c:v>C-Low</c:v>
                </c:pt>
                <c:pt idx="3">
                  <c:v>C-High</c:v>
                </c:pt>
                <c:pt idx="4">
                  <c:v>S-Low</c:v>
                </c:pt>
                <c:pt idx="5">
                  <c:v>S-High</c:v>
                </c:pt>
                <c:pt idx="6">
                  <c:v>All-Low</c:v>
                </c:pt>
                <c:pt idx="7">
                  <c:v>All-High</c:v>
                </c:pt>
              </c:strCache>
            </c:strRef>
          </c:cat>
          <c:val>
            <c:numRef>
              <c:f>'Shifts Stats'!$U$29:$U$36</c:f>
              <c:numCache>
                <c:formatCode>General</c:formatCode>
                <c:ptCount val="8"/>
                <c:pt idx="0">
                  <c:v>0.833333333333333</c:v>
                </c:pt>
                <c:pt idx="1">
                  <c:v>0.545454545454545</c:v>
                </c:pt>
                <c:pt idx="2">
                  <c:v>0.571428571428571</c:v>
                </c:pt>
                <c:pt idx="3">
                  <c:v>0.769230769230769</c:v>
                </c:pt>
                <c:pt idx="4">
                  <c:v>0.666666666666667</c:v>
                </c:pt>
                <c:pt idx="5">
                  <c:v>1.0</c:v>
                </c:pt>
                <c:pt idx="6">
                  <c:v>0.652173913043478</c:v>
                </c:pt>
                <c:pt idx="7">
                  <c:v>0.733333333333333</c:v>
                </c:pt>
              </c:numCache>
            </c:numRef>
          </c:val>
        </c:ser>
        <c:ser>
          <c:idx val="1"/>
          <c:order val="1"/>
          <c:tx>
            <c:strRef>
              <c:f>'Shifts Stats'!$V$28</c:f>
              <c:strCache>
                <c:ptCount val="1"/>
                <c:pt idx="0">
                  <c:v>down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'Shifts Stats'!$T$29:$T$36</c:f>
              <c:strCache>
                <c:ptCount val="8"/>
                <c:pt idx="0">
                  <c:v>N-Low</c:v>
                </c:pt>
                <c:pt idx="1">
                  <c:v>N-High</c:v>
                </c:pt>
                <c:pt idx="2">
                  <c:v>C-Low</c:v>
                </c:pt>
                <c:pt idx="3">
                  <c:v>C-High</c:v>
                </c:pt>
                <c:pt idx="4">
                  <c:v>S-Low</c:v>
                </c:pt>
                <c:pt idx="5">
                  <c:v>S-High</c:v>
                </c:pt>
                <c:pt idx="6">
                  <c:v>All-Low</c:v>
                </c:pt>
                <c:pt idx="7">
                  <c:v>All-High</c:v>
                </c:pt>
              </c:strCache>
            </c:strRef>
          </c:cat>
          <c:val>
            <c:numRef>
              <c:f>'Shifts Stats'!$V$29:$V$36</c:f>
              <c:numCache>
                <c:formatCode>General</c:formatCode>
                <c:ptCount val="8"/>
                <c:pt idx="0">
                  <c:v>0.166666666666667</c:v>
                </c:pt>
                <c:pt idx="1">
                  <c:v>0.454545454545454</c:v>
                </c:pt>
                <c:pt idx="2">
                  <c:v>0.428571428571429</c:v>
                </c:pt>
                <c:pt idx="3">
                  <c:v>0.230769230769231</c:v>
                </c:pt>
                <c:pt idx="4">
                  <c:v>0.333333333333333</c:v>
                </c:pt>
                <c:pt idx="5">
                  <c:v>0.0</c:v>
                </c:pt>
                <c:pt idx="6">
                  <c:v>0.347826086956522</c:v>
                </c:pt>
                <c:pt idx="7">
                  <c:v>0.266666666666667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4695192"/>
        <c:axId val="532036360"/>
      </c:barChart>
      <c:catAx>
        <c:axId val="634695192"/>
        <c:scaling>
          <c:orientation val="minMax"/>
        </c:scaling>
        <c:delete val="0"/>
        <c:axPos val="b"/>
        <c:majorTickMark val="out"/>
        <c:minorTickMark val="none"/>
        <c:tickLblPos val="nextTo"/>
        <c:crossAx val="532036360"/>
        <c:crosses val="autoZero"/>
        <c:auto val="1"/>
        <c:lblAlgn val="ctr"/>
        <c:lblOffset val="100"/>
        <c:noMultiLvlLbl val="0"/>
      </c:catAx>
      <c:valAx>
        <c:axId val="532036360"/>
        <c:scaling>
          <c:orientation val="minMax"/>
          <c:max val="1.0"/>
        </c:scaling>
        <c:delete val="0"/>
        <c:axPos val="l"/>
        <c:numFmt formatCode="General" sourceLinked="1"/>
        <c:majorTickMark val="out"/>
        <c:minorTickMark val="none"/>
        <c:tickLblPos val="nextTo"/>
        <c:crossAx val="634695192"/>
        <c:crosses val="autoZero"/>
        <c:crossBetween val="between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'Shifts Stats'!$O$99</c:f>
              <c:strCache>
                <c:ptCount val="1"/>
                <c:pt idx="0">
                  <c:v>Lag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'Shifts Stats'!$N$100:$N$107</c:f>
              <c:strCache>
                <c:ptCount val="8"/>
                <c:pt idx="0">
                  <c:v>N-Low</c:v>
                </c:pt>
                <c:pt idx="1">
                  <c:v>N-High</c:v>
                </c:pt>
                <c:pt idx="2">
                  <c:v>S-Low</c:v>
                </c:pt>
                <c:pt idx="3">
                  <c:v>S-High</c:v>
                </c:pt>
                <c:pt idx="4">
                  <c:v>C-Low</c:v>
                </c:pt>
                <c:pt idx="5">
                  <c:v>C-High</c:v>
                </c:pt>
                <c:pt idx="6">
                  <c:v>ALL-Low</c:v>
                </c:pt>
                <c:pt idx="7">
                  <c:v>ALL-High</c:v>
                </c:pt>
              </c:strCache>
            </c:strRef>
          </c:cat>
          <c:val>
            <c:numRef>
              <c:f>'Shifts Stats'!$O$100:$O$107</c:f>
              <c:numCache>
                <c:formatCode>General</c:formatCode>
                <c:ptCount val="8"/>
                <c:pt idx="0">
                  <c:v>0.333333333333333</c:v>
                </c:pt>
                <c:pt idx="1">
                  <c:v>0.636363636363636</c:v>
                </c:pt>
                <c:pt idx="2">
                  <c:v>0.6</c:v>
                </c:pt>
                <c:pt idx="3">
                  <c:v>0.857142857142857</c:v>
                </c:pt>
                <c:pt idx="4">
                  <c:v>0.428571428571429</c:v>
                </c:pt>
                <c:pt idx="5">
                  <c:v>0.916666666666667</c:v>
                </c:pt>
                <c:pt idx="6">
                  <c:v>0.478260869565217</c:v>
                </c:pt>
                <c:pt idx="7">
                  <c:v>0.8</c:v>
                </c:pt>
              </c:numCache>
            </c:numRef>
          </c:val>
        </c:ser>
        <c:ser>
          <c:idx val="1"/>
          <c:order val="1"/>
          <c:tx>
            <c:strRef>
              <c:f>'Shifts Stats'!$P$99</c:f>
              <c:strCache>
                <c:ptCount val="1"/>
                <c:pt idx="0">
                  <c:v>Lead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'Shifts Stats'!$N$100:$N$107</c:f>
              <c:strCache>
                <c:ptCount val="8"/>
                <c:pt idx="0">
                  <c:v>N-Low</c:v>
                </c:pt>
                <c:pt idx="1">
                  <c:v>N-High</c:v>
                </c:pt>
                <c:pt idx="2">
                  <c:v>S-Low</c:v>
                </c:pt>
                <c:pt idx="3">
                  <c:v>S-High</c:v>
                </c:pt>
                <c:pt idx="4">
                  <c:v>C-Low</c:v>
                </c:pt>
                <c:pt idx="5">
                  <c:v>C-High</c:v>
                </c:pt>
                <c:pt idx="6">
                  <c:v>ALL-Low</c:v>
                </c:pt>
                <c:pt idx="7">
                  <c:v>ALL-High</c:v>
                </c:pt>
              </c:strCache>
            </c:strRef>
          </c:cat>
          <c:val>
            <c:numRef>
              <c:f>'Shifts Stats'!$P$100:$P$107</c:f>
              <c:numCache>
                <c:formatCode>General</c:formatCode>
                <c:ptCount val="8"/>
                <c:pt idx="0">
                  <c:v>0.666666666666667</c:v>
                </c:pt>
                <c:pt idx="1">
                  <c:v>0.363636363636364</c:v>
                </c:pt>
                <c:pt idx="2">
                  <c:v>0.4</c:v>
                </c:pt>
                <c:pt idx="3">
                  <c:v>0.142857142857143</c:v>
                </c:pt>
                <c:pt idx="4">
                  <c:v>0.571428571428571</c:v>
                </c:pt>
                <c:pt idx="5">
                  <c:v>0.0833333333333333</c:v>
                </c:pt>
                <c:pt idx="6">
                  <c:v>0.521739130434783</c:v>
                </c:pt>
                <c:pt idx="7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5410888"/>
        <c:axId val="635413864"/>
      </c:barChart>
      <c:catAx>
        <c:axId val="63541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635413864"/>
        <c:crosses val="autoZero"/>
        <c:auto val="1"/>
        <c:lblAlgn val="ctr"/>
        <c:lblOffset val="100"/>
        <c:noMultiLvlLbl val="0"/>
      </c:catAx>
      <c:valAx>
        <c:axId val="635413864"/>
        <c:scaling>
          <c:orientation val="minMax"/>
          <c:max val="1.0"/>
        </c:scaling>
        <c:delete val="0"/>
        <c:axPos val="l"/>
        <c:numFmt formatCode="General" sourceLinked="1"/>
        <c:majorTickMark val="out"/>
        <c:minorTickMark val="none"/>
        <c:tickLblPos val="nextTo"/>
        <c:crossAx val="635410888"/>
        <c:crosses val="autoZero"/>
        <c:crossBetween val="between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3"/>
  <sheetViews>
    <sheetView tabSelected="1" workbookViewId="0">
      <selection activeCell="T37" sqref="T37"/>
    </sheetView>
  </sheetViews>
  <sheetFormatPr baseColWidth="10" defaultRowHeight="13" x14ac:dyDescent="0"/>
  <cols>
    <col min="1" max="1" width="23.42578125" customWidth="1"/>
    <col min="2" max="2" width="8.5703125" customWidth="1"/>
    <col min="3" max="3" width="9.28515625" customWidth="1"/>
    <col min="4" max="4" width="10.28515625" customWidth="1"/>
    <col min="5" max="5" width="9.28515625" customWidth="1"/>
    <col min="6" max="6" width="10.28515625" customWidth="1"/>
    <col min="7" max="7" width="9.28515625" customWidth="1"/>
    <col min="8" max="10" width="10.28515625" customWidth="1"/>
    <col min="11" max="12" width="7.5703125" customWidth="1"/>
  </cols>
  <sheetData>
    <row r="1" spans="1:26" ht="53" thickBot="1">
      <c r="A1" s="1" t="s">
        <v>5</v>
      </c>
      <c r="B1" s="2" t="s">
        <v>6</v>
      </c>
      <c r="C1" s="3" t="s">
        <v>103</v>
      </c>
      <c r="D1" s="3" t="s">
        <v>104</v>
      </c>
      <c r="E1" s="3" t="s">
        <v>103</v>
      </c>
      <c r="F1" s="3" t="s">
        <v>21</v>
      </c>
      <c r="G1" s="3" t="s">
        <v>23</v>
      </c>
      <c r="H1" s="3" t="s">
        <v>24</v>
      </c>
      <c r="I1" s="3" t="s">
        <v>246</v>
      </c>
      <c r="J1" s="3" t="s">
        <v>105</v>
      </c>
      <c r="K1" s="4" t="s">
        <v>106</v>
      </c>
      <c r="L1" s="5" t="s">
        <v>107</v>
      </c>
      <c r="N1" t="s">
        <v>7</v>
      </c>
      <c r="S1" t="s">
        <v>7</v>
      </c>
    </row>
    <row r="2" spans="1:26">
      <c r="A2" s="6" t="s">
        <v>146</v>
      </c>
      <c r="B2" s="7" t="s">
        <v>147</v>
      </c>
      <c r="C2" s="8" t="s">
        <v>149</v>
      </c>
      <c r="D2" s="8" t="s">
        <v>150</v>
      </c>
      <c r="E2" s="8" t="s">
        <v>149</v>
      </c>
      <c r="F2" s="8" t="s">
        <v>150</v>
      </c>
      <c r="G2" s="8" t="s">
        <v>149</v>
      </c>
      <c r="H2" s="8" t="s">
        <v>150</v>
      </c>
      <c r="I2" s="8" t="s">
        <v>247</v>
      </c>
      <c r="J2" s="8" t="s">
        <v>31</v>
      </c>
      <c r="K2" s="9" t="s">
        <v>33</v>
      </c>
      <c r="L2" s="9" t="s">
        <v>34</v>
      </c>
      <c r="O2" t="s">
        <v>30</v>
      </c>
      <c r="P2" t="s">
        <v>12</v>
      </c>
      <c r="Q2" t="s">
        <v>13</v>
      </c>
      <c r="T2" t="s">
        <v>30</v>
      </c>
      <c r="U2" t="s">
        <v>12</v>
      </c>
      <c r="V2" t="s">
        <v>13</v>
      </c>
    </row>
    <row r="3" spans="1:26">
      <c r="A3" s="6" t="s">
        <v>35</v>
      </c>
      <c r="B3" s="7" t="s">
        <v>36</v>
      </c>
      <c r="C3" s="8" t="s">
        <v>19</v>
      </c>
      <c r="D3" s="8" t="s">
        <v>20</v>
      </c>
      <c r="E3" s="8" t="s">
        <v>19</v>
      </c>
      <c r="F3" s="8" t="s">
        <v>44</v>
      </c>
      <c r="G3" s="8" t="s">
        <v>148</v>
      </c>
      <c r="H3" s="8" t="s">
        <v>22</v>
      </c>
      <c r="I3" s="8" t="s">
        <v>248</v>
      </c>
      <c r="J3" s="8" t="s">
        <v>37</v>
      </c>
      <c r="K3" s="9" t="s">
        <v>33</v>
      </c>
      <c r="L3" s="9" t="s">
        <v>66</v>
      </c>
      <c r="N3" t="s">
        <v>8</v>
      </c>
      <c r="O3">
        <f>COUNTIF(G19:G26,"NO")</f>
        <v>7</v>
      </c>
      <c r="P3">
        <f>COUNTIF(G19:G26,"W")</f>
        <v>1</v>
      </c>
      <c r="Q3">
        <f>COUNTIF(G19:G26,"XW")</f>
        <v>0</v>
      </c>
      <c r="R3" t="s">
        <v>16</v>
      </c>
      <c r="S3" t="s">
        <v>8</v>
      </c>
      <c r="T3">
        <f>7/8</f>
        <v>0.875</v>
      </c>
      <c r="U3">
        <f>1/8</f>
        <v>0.125</v>
      </c>
      <c r="V3">
        <v>0</v>
      </c>
      <c r="Y3" t="s">
        <v>140</v>
      </c>
      <c r="Z3" t="s">
        <v>141</v>
      </c>
    </row>
    <row r="4" spans="1:26">
      <c r="A4" s="6" t="s">
        <v>38</v>
      </c>
      <c r="B4" s="7" t="s">
        <v>36</v>
      </c>
      <c r="C4" s="10" t="s">
        <v>39</v>
      </c>
      <c r="D4" s="8" t="s">
        <v>150</v>
      </c>
      <c r="E4" s="10" t="s">
        <v>40</v>
      </c>
      <c r="F4" s="8" t="s">
        <v>150</v>
      </c>
      <c r="G4" s="10" t="s">
        <v>41</v>
      </c>
      <c r="H4" s="8" t="s">
        <v>150</v>
      </c>
      <c r="I4" s="8" t="s">
        <v>248</v>
      </c>
      <c r="J4" s="8" t="s">
        <v>42</v>
      </c>
      <c r="K4" s="9" t="s">
        <v>43</v>
      </c>
      <c r="L4" s="9" t="s">
        <v>164</v>
      </c>
      <c r="N4" t="s">
        <v>9</v>
      </c>
      <c r="O4">
        <f>COUNTIF(H19:H26,"NO")</f>
        <v>3</v>
      </c>
      <c r="P4">
        <f>COUNTIF(H19:H26,"W")</f>
        <v>4</v>
      </c>
      <c r="Q4">
        <f>COUNTIF(H19:H26,"XW")</f>
        <v>1</v>
      </c>
      <c r="R4" t="s">
        <v>16</v>
      </c>
      <c r="S4" t="s">
        <v>9</v>
      </c>
      <c r="T4">
        <f>3/8</f>
        <v>0.375</v>
      </c>
      <c r="U4">
        <f>4/8</f>
        <v>0.5</v>
      </c>
      <c r="V4">
        <f>1/8</f>
        <v>0.125</v>
      </c>
      <c r="W4">
        <v>5</v>
      </c>
      <c r="X4">
        <v>1</v>
      </c>
      <c r="Y4">
        <v>2.6669999999999998</v>
      </c>
      <c r="Z4">
        <v>0.10299999999999999</v>
      </c>
    </row>
    <row r="5" spans="1:26">
      <c r="A5" s="6" t="s">
        <v>165</v>
      </c>
      <c r="B5" s="7" t="s">
        <v>36</v>
      </c>
      <c r="C5" s="8" t="s">
        <v>166</v>
      </c>
      <c r="D5" s="8" t="s">
        <v>167</v>
      </c>
      <c r="E5" s="8" t="s">
        <v>168</v>
      </c>
      <c r="F5" s="8" t="s">
        <v>169</v>
      </c>
      <c r="G5" s="8" t="s">
        <v>170</v>
      </c>
      <c r="H5" s="8" t="s">
        <v>169</v>
      </c>
      <c r="I5" s="8" t="s">
        <v>248</v>
      </c>
      <c r="J5" s="8" t="s">
        <v>171</v>
      </c>
      <c r="K5" s="9" t="s">
        <v>43</v>
      </c>
      <c r="L5" s="9" t="s">
        <v>173</v>
      </c>
      <c r="N5" t="s">
        <v>10</v>
      </c>
      <c r="O5">
        <f>COUNTIF(G2:G18,"NO")</f>
        <v>11</v>
      </c>
      <c r="P5">
        <f>COUNTIF(G2:G18,"W")</f>
        <v>4</v>
      </c>
      <c r="Q5">
        <f>COUNTIF(G2:G18,"XW")</f>
        <v>2</v>
      </c>
      <c r="R5" t="s">
        <v>17</v>
      </c>
      <c r="S5" t="s">
        <v>10</v>
      </c>
      <c r="T5">
        <f>11/17</f>
        <v>0.6470588235294118</v>
      </c>
      <c r="U5">
        <f>4/17</f>
        <v>0.23529411764705882</v>
      </c>
      <c r="V5">
        <f>2/17</f>
        <v>0.11764705882352941</v>
      </c>
    </row>
    <row r="6" spans="1:26">
      <c r="A6" s="6" t="s">
        <v>174</v>
      </c>
      <c r="B6" s="7" t="s">
        <v>36</v>
      </c>
      <c r="C6" s="8" t="s">
        <v>175</v>
      </c>
      <c r="D6" s="8" t="s">
        <v>176</v>
      </c>
      <c r="E6" s="8" t="s">
        <v>168</v>
      </c>
      <c r="F6" s="8" t="s">
        <v>168</v>
      </c>
      <c r="G6" s="8" t="s">
        <v>170</v>
      </c>
      <c r="H6" s="8" t="s">
        <v>41</v>
      </c>
      <c r="I6" s="8" t="s">
        <v>248</v>
      </c>
      <c r="J6" s="8" t="s">
        <v>177</v>
      </c>
      <c r="K6" s="9" t="s">
        <v>32</v>
      </c>
      <c r="L6" s="9" t="s">
        <v>172</v>
      </c>
      <c r="N6" t="s">
        <v>11</v>
      </c>
      <c r="O6">
        <f>COUNTIF(H2:H18,"NO")</f>
        <v>12</v>
      </c>
      <c r="P6">
        <f>COUNTIF(H2:H18,"W")</f>
        <v>2</v>
      </c>
      <c r="Q6">
        <f>COUNTIF(H1:H18,"XW")</f>
        <v>3</v>
      </c>
      <c r="R6" t="s">
        <v>17</v>
      </c>
      <c r="S6" t="s">
        <v>11</v>
      </c>
      <c r="T6">
        <f>12/17</f>
        <v>0.70588235294117652</v>
      </c>
      <c r="U6">
        <f>2/17</f>
        <v>0.11764705882352941</v>
      </c>
      <c r="V6">
        <f>3/17</f>
        <v>0.17647058823529413</v>
      </c>
      <c r="W6">
        <v>6</v>
      </c>
      <c r="X6">
        <v>5</v>
      </c>
      <c r="Y6">
        <v>9.0999999999999998E-2</v>
      </c>
      <c r="Z6">
        <v>0.76300000000000001</v>
      </c>
    </row>
    <row r="7" spans="1:26">
      <c r="A7" s="6" t="s">
        <v>216</v>
      </c>
      <c r="B7" s="7" t="s">
        <v>36</v>
      </c>
      <c r="C7" s="8" t="s">
        <v>25</v>
      </c>
      <c r="D7" s="8" t="s">
        <v>26</v>
      </c>
      <c r="E7" s="8" t="s">
        <v>27</v>
      </c>
      <c r="F7" s="8" t="s">
        <v>27</v>
      </c>
      <c r="G7" s="8" t="s">
        <v>28</v>
      </c>
      <c r="H7" s="8" t="s">
        <v>29</v>
      </c>
      <c r="I7" s="8" t="s">
        <v>247</v>
      </c>
      <c r="J7" s="8" t="s">
        <v>217</v>
      </c>
      <c r="K7" s="9" t="s">
        <v>43</v>
      </c>
      <c r="L7" s="9" t="s">
        <v>157</v>
      </c>
      <c r="S7" t="s">
        <v>18</v>
      </c>
      <c r="U7">
        <f>11/17</f>
        <v>0.6470588235294118</v>
      </c>
      <c r="V7">
        <f>6/17</f>
        <v>0.35294117647058826</v>
      </c>
      <c r="W7">
        <v>11</v>
      </c>
      <c r="X7">
        <v>6</v>
      </c>
      <c r="Y7">
        <v>1.4710000000000001</v>
      </c>
      <c r="Z7">
        <v>0.2253</v>
      </c>
    </row>
    <row r="8" spans="1:26">
      <c r="A8" s="6" t="s">
        <v>218</v>
      </c>
      <c r="B8" s="7" t="s">
        <v>36</v>
      </c>
      <c r="C8" s="8" t="s">
        <v>150</v>
      </c>
      <c r="D8" s="8" t="s">
        <v>150</v>
      </c>
      <c r="E8" s="8" t="s">
        <v>150</v>
      </c>
      <c r="F8" s="8" t="s">
        <v>150</v>
      </c>
      <c r="G8" s="8" t="s">
        <v>150</v>
      </c>
      <c r="H8" s="8" t="s">
        <v>150</v>
      </c>
      <c r="I8" s="8" t="s">
        <v>247</v>
      </c>
      <c r="J8" s="8" t="s">
        <v>219</v>
      </c>
      <c r="K8" s="9" t="s">
        <v>32</v>
      </c>
      <c r="L8" s="9" t="s">
        <v>220</v>
      </c>
      <c r="N8" t="s">
        <v>14</v>
      </c>
    </row>
    <row r="9" spans="1:26">
      <c r="A9" s="6" t="s">
        <v>221</v>
      </c>
      <c r="B9" s="7" t="s">
        <v>36</v>
      </c>
      <c r="C9" s="8" t="s">
        <v>222</v>
      </c>
      <c r="D9" s="8" t="s">
        <v>223</v>
      </c>
      <c r="E9" s="8" t="s">
        <v>40</v>
      </c>
      <c r="F9" s="8" t="s">
        <v>168</v>
      </c>
      <c r="G9" s="8" t="s">
        <v>41</v>
      </c>
      <c r="H9" s="8" t="s">
        <v>41</v>
      </c>
      <c r="I9" s="8" t="s">
        <v>248</v>
      </c>
      <c r="J9" s="8" t="s">
        <v>224</v>
      </c>
      <c r="K9" s="9" t="s">
        <v>43</v>
      </c>
      <c r="L9" s="9" t="s">
        <v>173</v>
      </c>
      <c r="O9" t="s">
        <v>30</v>
      </c>
      <c r="P9" t="s">
        <v>12</v>
      </c>
      <c r="Q9" t="s">
        <v>13</v>
      </c>
      <c r="S9" t="s">
        <v>14</v>
      </c>
    </row>
    <row r="10" spans="1:26">
      <c r="A10" s="6" t="s">
        <v>225</v>
      </c>
      <c r="B10" s="7" t="s">
        <v>36</v>
      </c>
      <c r="C10" s="8" t="s">
        <v>150</v>
      </c>
      <c r="D10" s="8" t="s">
        <v>150</v>
      </c>
      <c r="E10" s="8" t="s">
        <v>150</v>
      </c>
      <c r="F10" s="8" t="s">
        <v>150</v>
      </c>
      <c r="G10" s="8" t="s">
        <v>150</v>
      </c>
      <c r="H10" s="8" t="s">
        <v>150</v>
      </c>
      <c r="I10" s="8" t="s">
        <v>247</v>
      </c>
      <c r="J10" s="8" t="s">
        <v>219</v>
      </c>
      <c r="K10" s="9" t="s">
        <v>43</v>
      </c>
      <c r="L10" s="9" t="s">
        <v>226</v>
      </c>
      <c r="N10" t="s">
        <v>8</v>
      </c>
      <c r="O10">
        <f>COUNTIF(G41:G52,"NO")</f>
        <v>10</v>
      </c>
      <c r="P10">
        <f>COUNTIF(G41:G52,"W")</f>
        <v>2</v>
      </c>
      <c r="Q10">
        <f>COUNTIF(G41:G52,"XW")</f>
        <v>0</v>
      </c>
      <c r="T10" t="s">
        <v>30</v>
      </c>
      <c r="U10" t="s">
        <v>12</v>
      </c>
      <c r="V10" t="s">
        <v>13</v>
      </c>
    </row>
    <row r="11" spans="1:26">
      <c r="A11" s="6" t="s">
        <v>235</v>
      </c>
      <c r="B11" s="7" t="s">
        <v>36</v>
      </c>
      <c r="C11" s="8" t="s">
        <v>150</v>
      </c>
      <c r="D11" s="8" t="s">
        <v>150</v>
      </c>
      <c r="E11" s="8" t="s">
        <v>150</v>
      </c>
      <c r="F11" s="8" t="s">
        <v>150</v>
      </c>
      <c r="G11" s="8" t="s">
        <v>150</v>
      </c>
      <c r="H11" s="8" t="s">
        <v>150</v>
      </c>
      <c r="I11" s="8" t="s">
        <v>247</v>
      </c>
      <c r="J11" s="8" t="s">
        <v>219</v>
      </c>
      <c r="K11" s="9" t="s">
        <v>43</v>
      </c>
      <c r="L11" s="9" t="s">
        <v>226</v>
      </c>
      <c r="N11" t="s">
        <v>9</v>
      </c>
      <c r="O11">
        <f>COUNTIF(H41:H52,"NO")</f>
        <v>4</v>
      </c>
      <c r="P11">
        <f>COUNTIF(H41:H52,"W")</f>
        <v>4</v>
      </c>
      <c r="Q11">
        <f>COUNTIF(H41:H52,"XW")</f>
        <v>4</v>
      </c>
      <c r="R11" t="s">
        <v>16</v>
      </c>
      <c r="S11" t="s">
        <v>8</v>
      </c>
      <c r="T11">
        <f>10/12</f>
        <v>0.83333333333333337</v>
      </c>
      <c r="U11">
        <f>2/12</f>
        <v>0.16666666666666666</v>
      </c>
      <c r="V11">
        <v>0</v>
      </c>
    </row>
    <row r="12" spans="1:26">
      <c r="A12" s="6" t="s">
        <v>62</v>
      </c>
      <c r="B12" s="7" t="s">
        <v>36</v>
      </c>
      <c r="C12" s="8" t="s">
        <v>150</v>
      </c>
      <c r="D12" s="8" t="s">
        <v>150</v>
      </c>
      <c r="E12" s="8" t="s">
        <v>150</v>
      </c>
      <c r="F12" s="8" t="s">
        <v>150</v>
      </c>
      <c r="G12" s="8" t="s">
        <v>150</v>
      </c>
      <c r="H12" s="8" t="s">
        <v>150</v>
      </c>
      <c r="I12" s="8" t="s">
        <v>247</v>
      </c>
      <c r="J12" s="8" t="s">
        <v>219</v>
      </c>
      <c r="K12" s="9" t="s">
        <v>43</v>
      </c>
      <c r="L12" s="9" t="s">
        <v>226</v>
      </c>
      <c r="N12" t="s">
        <v>10</v>
      </c>
      <c r="O12">
        <f>COUNTIF(G27:G40,"NO")</f>
        <v>8</v>
      </c>
      <c r="P12">
        <f>COUNTIF(G27:G40,"W")</f>
        <v>6</v>
      </c>
      <c r="Q12">
        <f>COUNTIF(G27:G40,"XW")</f>
        <v>0</v>
      </c>
      <c r="R12" t="s">
        <v>16</v>
      </c>
      <c r="S12" t="s">
        <v>9</v>
      </c>
      <c r="T12">
        <f>4/12</f>
        <v>0.33333333333333331</v>
      </c>
      <c r="U12">
        <f>4/12</f>
        <v>0.33333333333333331</v>
      </c>
      <c r="V12">
        <f>4/12</f>
        <v>0.33333333333333331</v>
      </c>
      <c r="W12">
        <v>6</v>
      </c>
      <c r="X12">
        <v>4</v>
      </c>
      <c r="Y12">
        <v>1.333</v>
      </c>
      <c r="Z12">
        <v>0.2482</v>
      </c>
    </row>
    <row r="13" spans="1:26">
      <c r="A13" s="6" t="s">
        <v>63</v>
      </c>
      <c r="B13" s="7" t="s">
        <v>36</v>
      </c>
      <c r="C13" s="8" t="s">
        <v>150</v>
      </c>
      <c r="D13" s="8" t="s">
        <v>150</v>
      </c>
      <c r="E13" s="8" t="s">
        <v>150</v>
      </c>
      <c r="F13" s="8" t="s">
        <v>150</v>
      </c>
      <c r="G13" s="8" t="s">
        <v>150</v>
      </c>
      <c r="H13" s="8" t="s">
        <v>150</v>
      </c>
      <c r="I13" s="8" t="s">
        <v>247</v>
      </c>
      <c r="J13" s="8" t="s">
        <v>219</v>
      </c>
      <c r="K13" s="9" t="s">
        <v>43</v>
      </c>
      <c r="L13" s="9" t="s">
        <v>226</v>
      </c>
      <c r="N13" t="s">
        <v>11</v>
      </c>
      <c r="O13">
        <f>COUNTIF(H27:H40,"NO")</f>
        <v>13</v>
      </c>
      <c r="P13">
        <f>COUNTIF(H27:H40,"W")</f>
        <v>1</v>
      </c>
      <c r="Q13">
        <f>COUNTIF(H27:H40,"XW")</f>
        <v>0</v>
      </c>
      <c r="R13" t="s">
        <v>17</v>
      </c>
      <c r="S13" t="s">
        <v>10</v>
      </c>
      <c r="T13">
        <f>8/14</f>
        <v>0.5714285714285714</v>
      </c>
      <c r="U13">
        <f>6/14</f>
        <v>0.42857142857142855</v>
      </c>
      <c r="V13">
        <v>0</v>
      </c>
    </row>
    <row r="14" spans="1:26">
      <c r="A14" s="6" t="s">
        <v>64</v>
      </c>
      <c r="B14" s="7" t="s">
        <v>36</v>
      </c>
      <c r="C14" s="8" t="s">
        <v>65</v>
      </c>
      <c r="D14" s="8" t="s">
        <v>150</v>
      </c>
      <c r="E14" s="8" t="s">
        <v>168</v>
      </c>
      <c r="F14" s="8" t="s">
        <v>150</v>
      </c>
      <c r="G14" s="8" t="s">
        <v>170</v>
      </c>
      <c r="H14" s="8" t="s">
        <v>150</v>
      </c>
      <c r="I14" s="8" t="s">
        <v>248</v>
      </c>
      <c r="J14" s="8" t="s">
        <v>108</v>
      </c>
      <c r="K14" s="9" t="s">
        <v>43</v>
      </c>
      <c r="L14" s="9" t="s">
        <v>173</v>
      </c>
      <c r="R14" t="s">
        <v>17</v>
      </c>
      <c r="S14" t="s">
        <v>11</v>
      </c>
      <c r="T14">
        <f>13/14</f>
        <v>0.9285714285714286</v>
      </c>
      <c r="U14">
        <f>1/14</f>
        <v>7.1428571428571425E-2</v>
      </c>
      <c r="V14">
        <v>0</v>
      </c>
      <c r="W14">
        <v>7</v>
      </c>
      <c r="X14">
        <v>0</v>
      </c>
      <c r="Y14">
        <v>7</v>
      </c>
      <c r="Z14">
        <v>2.7000000000000001E-3</v>
      </c>
    </row>
    <row r="15" spans="1:26">
      <c r="A15" s="6" t="s">
        <v>109</v>
      </c>
      <c r="B15" s="7" t="s">
        <v>36</v>
      </c>
      <c r="C15" s="8" t="s">
        <v>148</v>
      </c>
      <c r="D15" s="8" t="s">
        <v>69</v>
      </c>
      <c r="E15" s="8" t="s">
        <v>19</v>
      </c>
      <c r="F15" s="8" t="s">
        <v>44</v>
      </c>
      <c r="G15" s="8" t="s">
        <v>148</v>
      </c>
      <c r="H15" s="8" t="s">
        <v>22</v>
      </c>
      <c r="I15" s="8" t="s">
        <v>248</v>
      </c>
      <c r="J15" s="8" t="s">
        <v>122</v>
      </c>
      <c r="K15" s="9" t="s">
        <v>43</v>
      </c>
      <c r="L15" s="9" t="s">
        <v>44</v>
      </c>
      <c r="N15" t="s">
        <v>15</v>
      </c>
      <c r="S15" t="s">
        <v>18</v>
      </c>
      <c r="U15">
        <f>13/17</f>
        <v>0.76470588235294112</v>
      </c>
      <c r="V15">
        <f>4/17</f>
        <v>0.23529411764705882</v>
      </c>
      <c r="W15">
        <v>17</v>
      </c>
      <c r="X15">
        <v>4</v>
      </c>
      <c r="Y15">
        <v>8.048</v>
      </c>
      <c r="Z15">
        <v>4.5999999999999999E-3</v>
      </c>
    </row>
    <row r="16" spans="1:26">
      <c r="A16" s="6" t="s">
        <v>110</v>
      </c>
      <c r="B16" s="7" t="s">
        <v>36</v>
      </c>
      <c r="C16" s="8" t="s">
        <v>148</v>
      </c>
      <c r="D16" s="8" t="s">
        <v>19</v>
      </c>
      <c r="E16" s="8" t="s">
        <v>19</v>
      </c>
      <c r="F16" s="8" t="s">
        <v>19</v>
      </c>
      <c r="G16" s="8" t="s">
        <v>19</v>
      </c>
      <c r="H16" s="8" t="s">
        <v>19</v>
      </c>
      <c r="I16" s="8" t="s">
        <v>247</v>
      </c>
      <c r="J16" s="8" t="s">
        <v>4</v>
      </c>
      <c r="K16" s="9" t="s">
        <v>43</v>
      </c>
      <c r="L16" s="9" t="s">
        <v>70</v>
      </c>
      <c r="O16" t="s">
        <v>30</v>
      </c>
      <c r="P16" t="s">
        <v>12</v>
      </c>
      <c r="Q16" t="s">
        <v>13</v>
      </c>
    </row>
    <row r="17" spans="1:31">
      <c r="A17" s="6" t="s">
        <v>111</v>
      </c>
      <c r="B17" s="7" t="s">
        <v>36</v>
      </c>
      <c r="C17" s="8" t="s">
        <v>150</v>
      </c>
      <c r="D17" s="8" t="s">
        <v>112</v>
      </c>
      <c r="E17" s="8" t="s">
        <v>150</v>
      </c>
      <c r="F17" s="8" t="s">
        <v>168</v>
      </c>
      <c r="G17" s="8" t="s">
        <v>150</v>
      </c>
      <c r="H17" s="8" t="s">
        <v>41</v>
      </c>
      <c r="I17" s="8" t="s">
        <v>248</v>
      </c>
      <c r="J17" s="8" t="s">
        <v>113</v>
      </c>
      <c r="K17" s="9" t="s">
        <v>43</v>
      </c>
      <c r="L17" s="9" t="s">
        <v>173</v>
      </c>
      <c r="N17" t="s">
        <v>8</v>
      </c>
      <c r="O17">
        <f>COUNTIF(G72:G83,"NO")</f>
        <v>10</v>
      </c>
      <c r="P17">
        <f>COUNTIF(G72:G83,"W")</f>
        <v>1</v>
      </c>
      <c r="Q17">
        <f>COUNTIF(G72:G83,"XW")</f>
        <v>1</v>
      </c>
      <c r="S17" t="s">
        <v>15</v>
      </c>
    </row>
    <row r="18" spans="1:31">
      <c r="A18" s="6" t="s">
        <v>114</v>
      </c>
      <c r="B18" s="7" t="s">
        <v>36</v>
      </c>
      <c r="C18" s="8" t="s">
        <v>115</v>
      </c>
      <c r="D18" s="8" t="s">
        <v>150</v>
      </c>
      <c r="E18" s="8" t="s">
        <v>168</v>
      </c>
      <c r="F18" s="8" t="s">
        <v>150</v>
      </c>
      <c r="G18" s="8" t="s">
        <v>170</v>
      </c>
      <c r="H18" s="8" t="s">
        <v>150</v>
      </c>
      <c r="I18" s="8" t="s">
        <v>248</v>
      </c>
      <c r="J18" s="8" t="s">
        <v>108</v>
      </c>
      <c r="K18" s="9" t="s">
        <v>43</v>
      </c>
      <c r="L18" s="9" t="s">
        <v>173</v>
      </c>
      <c r="N18" t="s">
        <v>9</v>
      </c>
      <c r="O18">
        <f>COUNTIF(H72:H83,"NO")</f>
        <v>7</v>
      </c>
      <c r="P18">
        <f>COUNTIF(H72:H83,"W")</f>
        <v>3</v>
      </c>
      <c r="Q18">
        <f>COUNTIF(H72:H83,"XW")</f>
        <v>2</v>
      </c>
      <c r="T18" t="s">
        <v>30</v>
      </c>
      <c r="U18" t="s">
        <v>12</v>
      </c>
      <c r="V18" t="s">
        <v>13</v>
      </c>
    </row>
    <row r="19" spans="1:31">
      <c r="A19" s="6" t="s">
        <v>116</v>
      </c>
      <c r="B19" s="7" t="s">
        <v>36</v>
      </c>
      <c r="C19" s="8" t="s">
        <v>150</v>
      </c>
      <c r="D19" s="8" t="s">
        <v>150</v>
      </c>
      <c r="E19" s="8" t="s">
        <v>150</v>
      </c>
      <c r="F19" s="8" t="s">
        <v>150</v>
      </c>
      <c r="G19" s="8" t="s">
        <v>150</v>
      </c>
      <c r="H19" s="8" t="s">
        <v>150</v>
      </c>
      <c r="I19" s="8" t="s">
        <v>247</v>
      </c>
      <c r="J19" s="8" t="s">
        <v>219</v>
      </c>
      <c r="K19" s="9" t="s">
        <v>118</v>
      </c>
      <c r="L19" s="9" t="s">
        <v>226</v>
      </c>
      <c r="N19" t="s">
        <v>10</v>
      </c>
      <c r="O19">
        <f>COUNTIF(G53:G71,"NO")</f>
        <v>9</v>
      </c>
      <c r="P19">
        <f>COUNTIF(G53:G71,"W")</f>
        <v>9</v>
      </c>
      <c r="Q19">
        <f>COUNTIF(G53:G71,"XW")</f>
        <v>1</v>
      </c>
      <c r="R19" t="s">
        <v>16</v>
      </c>
      <c r="S19" t="s">
        <v>8</v>
      </c>
      <c r="T19">
        <f>10/12</f>
        <v>0.83333333333333337</v>
      </c>
      <c r="U19">
        <f>1/12</f>
        <v>8.3333333333333329E-2</v>
      </c>
      <c r="V19">
        <f>1/12</f>
        <v>8.3333333333333329E-2</v>
      </c>
    </row>
    <row r="20" spans="1:31">
      <c r="A20" s="6" t="s">
        <v>119</v>
      </c>
      <c r="B20" s="7" t="s">
        <v>36</v>
      </c>
      <c r="C20" s="10" t="s">
        <v>120</v>
      </c>
      <c r="D20" s="10" t="s">
        <v>121</v>
      </c>
      <c r="E20" s="10" t="s">
        <v>148</v>
      </c>
      <c r="F20" s="10" t="s">
        <v>40</v>
      </c>
      <c r="G20" s="10" t="s">
        <v>148</v>
      </c>
      <c r="H20" s="10" t="s">
        <v>170</v>
      </c>
      <c r="I20" s="10" t="s">
        <v>248</v>
      </c>
      <c r="J20" s="10" t="s">
        <v>122</v>
      </c>
      <c r="K20" s="9" t="s">
        <v>118</v>
      </c>
      <c r="L20" s="9" t="s">
        <v>164</v>
      </c>
      <c r="N20" t="s">
        <v>11</v>
      </c>
      <c r="O20">
        <f>COUNTIF(H53:H71,"NO")</f>
        <v>17</v>
      </c>
      <c r="P20">
        <f>COUNTIF(H53:H71,"W")</f>
        <v>0</v>
      </c>
      <c r="Q20">
        <f>COUNTIF(H53:H71,"XW")</f>
        <v>2</v>
      </c>
      <c r="R20" t="s">
        <v>16</v>
      </c>
      <c r="S20" t="s">
        <v>9</v>
      </c>
      <c r="T20">
        <f>7/12</f>
        <v>0.58333333333333337</v>
      </c>
      <c r="U20">
        <f>3/12</f>
        <v>0.25</v>
      </c>
      <c r="V20">
        <f>2/12</f>
        <v>0.16666666666666666</v>
      </c>
      <c r="W20">
        <v>4</v>
      </c>
      <c r="X20">
        <v>3</v>
      </c>
      <c r="Y20">
        <v>0.14299999999999999</v>
      </c>
      <c r="Z20">
        <v>0.70550000000000002</v>
      </c>
    </row>
    <row r="21" spans="1:31">
      <c r="A21" s="6" t="s">
        <v>123</v>
      </c>
      <c r="B21" s="7" t="s">
        <v>36</v>
      </c>
      <c r="C21" s="8" t="s">
        <v>150</v>
      </c>
      <c r="D21" s="8" t="s">
        <v>124</v>
      </c>
      <c r="E21" s="8" t="s">
        <v>150</v>
      </c>
      <c r="F21" s="8" t="s">
        <v>40</v>
      </c>
      <c r="G21" s="8" t="s">
        <v>150</v>
      </c>
      <c r="H21" s="8" t="s">
        <v>170</v>
      </c>
      <c r="I21" s="8" t="s">
        <v>248</v>
      </c>
      <c r="J21" s="8" t="s">
        <v>125</v>
      </c>
      <c r="K21" s="9" t="s">
        <v>118</v>
      </c>
      <c r="L21" s="9" t="s">
        <v>164</v>
      </c>
      <c r="R21" t="s">
        <v>17</v>
      </c>
      <c r="S21" t="s">
        <v>10</v>
      </c>
      <c r="T21">
        <f>9/19</f>
        <v>0.47368421052631576</v>
      </c>
      <c r="U21">
        <f>9/19</f>
        <v>0.47368421052631576</v>
      </c>
      <c r="V21">
        <f>1/19</f>
        <v>5.2631578947368418E-2</v>
      </c>
    </row>
    <row r="22" spans="1:31">
      <c r="A22" s="6" t="s">
        <v>126</v>
      </c>
      <c r="B22" s="7" t="s">
        <v>36</v>
      </c>
      <c r="C22" s="8" t="s">
        <v>127</v>
      </c>
      <c r="D22" s="8" t="s">
        <v>150</v>
      </c>
      <c r="E22" s="8" t="s">
        <v>148</v>
      </c>
      <c r="F22" s="8" t="s">
        <v>150</v>
      </c>
      <c r="G22" s="8" t="s">
        <v>148</v>
      </c>
      <c r="H22" s="8" t="s">
        <v>150</v>
      </c>
      <c r="I22" s="8" t="s">
        <v>247</v>
      </c>
      <c r="J22" s="8" t="s">
        <v>108</v>
      </c>
      <c r="K22" s="9" t="s">
        <v>118</v>
      </c>
      <c r="L22" s="9" t="s">
        <v>226</v>
      </c>
      <c r="R22" t="s">
        <v>17</v>
      </c>
      <c r="S22" t="s">
        <v>11</v>
      </c>
      <c r="T22">
        <f>17/19</f>
        <v>0.89473684210526316</v>
      </c>
      <c r="U22">
        <v>0</v>
      </c>
      <c r="V22">
        <f>2/19</f>
        <v>0.10526315789473684</v>
      </c>
      <c r="W22">
        <v>9</v>
      </c>
      <c r="X22">
        <v>3</v>
      </c>
      <c r="Y22">
        <v>3.7690000000000001</v>
      </c>
      <c r="Z22">
        <v>5.2200000000000003E-2</v>
      </c>
    </row>
    <row r="23" spans="1:31">
      <c r="A23" s="6" t="s">
        <v>128</v>
      </c>
      <c r="B23" s="7" t="s">
        <v>36</v>
      </c>
      <c r="C23" s="8" t="s">
        <v>129</v>
      </c>
      <c r="D23" s="8" t="s">
        <v>130</v>
      </c>
      <c r="E23" s="8" t="s">
        <v>168</v>
      </c>
      <c r="F23" s="8" t="s">
        <v>40</v>
      </c>
      <c r="G23" s="8" t="s">
        <v>170</v>
      </c>
      <c r="H23" s="8" t="s">
        <v>170</v>
      </c>
      <c r="I23" s="8" t="s">
        <v>248</v>
      </c>
      <c r="J23" s="8" t="s">
        <v>131</v>
      </c>
      <c r="K23" s="9" t="s">
        <v>117</v>
      </c>
      <c r="L23" s="9" t="s">
        <v>172</v>
      </c>
      <c r="S23" t="s">
        <v>18</v>
      </c>
      <c r="U23">
        <f>13/19</f>
        <v>0.68421052631578949</v>
      </c>
      <c r="V23">
        <f>6/19</f>
        <v>0.31578947368421051</v>
      </c>
      <c r="W23">
        <v>13</v>
      </c>
      <c r="X23">
        <v>6</v>
      </c>
      <c r="Y23">
        <v>3.2</v>
      </c>
      <c r="Z23">
        <v>7.3599999999999999E-2</v>
      </c>
    </row>
    <row r="24" spans="1:31">
      <c r="A24" s="6" t="s">
        <v>91</v>
      </c>
      <c r="B24" s="7" t="s">
        <v>36</v>
      </c>
      <c r="C24" s="8" t="s">
        <v>150</v>
      </c>
      <c r="D24" s="8" t="s">
        <v>92</v>
      </c>
      <c r="E24" s="8" t="s">
        <v>150</v>
      </c>
      <c r="F24" s="8" t="s">
        <v>168</v>
      </c>
      <c r="G24" s="8" t="s">
        <v>150</v>
      </c>
      <c r="H24" s="8" t="s">
        <v>41</v>
      </c>
      <c r="I24" s="8" t="s">
        <v>248</v>
      </c>
      <c r="J24" s="8" t="s">
        <v>113</v>
      </c>
      <c r="K24" s="9" t="s">
        <v>117</v>
      </c>
      <c r="L24" s="9" t="s">
        <v>172</v>
      </c>
    </row>
    <row r="25" spans="1:31">
      <c r="A25" s="6" t="s">
        <v>93</v>
      </c>
      <c r="B25" s="7" t="s">
        <v>36</v>
      </c>
      <c r="C25" s="8" t="s">
        <v>19</v>
      </c>
      <c r="D25" s="8" t="s">
        <v>67</v>
      </c>
      <c r="E25" s="8" t="s">
        <v>19</v>
      </c>
      <c r="F25" s="8" t="s">
        <v>44</v>
      </c>
      <c r="G25" s="8" t="s">
        <v>19</v>
      </c>
      <c r="H25" s="8" t="s">
        <v>72</v>
      </c>
      <c r="I25" s="8" t="s">
        <v>248</v>
      </c>
      <c r="J25" s="8" t="s">
        <v>68</v>
      </c>
      <c r="K25" s="9" t="s">
        <v>118</v>
      </c>
      <c r="L25" s="9" t="s">
        <v>44</v>
      </c>
    </row>
    <row r="26" spans="1:31">
      <c r="A26" s="6" t="s">
        <v>94</v>
      </c>
      <c r="B26" s="7" t="s">
        <v>36</v>
      </c>
      <c r="C26" s="8" t="s">
        <v>19</v>
      </c>
      <c r="D26" s="8" t="s">
        <v>19</v>
      </c>
      <c r="E26" s="8" t="s">
        <v>19</v>
      </c>
      <c r="F26" s="8" t="s">
        <v>19</v>
      </c>
      <c r="G26" s="8" t="s">
        <v>19</v>
      </c>
      <c r="H26" s="8" t="s">
        <v>19</v>
      </c>
      <c r="I26" s="8" t="s">
        <v>247</v>
      </c>
      <c r="J26" s="8" t="s">
        <v>4</v>
      </c>
      <c r="K26" s="9" t="s">
        <v>117</v>
      </c>
      <c r="L26" s="9" t="s">
        <v>220</v>
      </c>
    </row>
    <row r="27" spans="1:31">
      <c r="A27" s="6" t="s">
        <v>95</v>
      </c>
      <c r="B27" s="7" t="s">
        <v>96</v>
      </c>
      <c r="C27" s="8" t="s">
        <v>97</v>
      </c>
      <c r="D27" s="8" t="s">
        <v>150</v>
      </c>
      <c r="E27" s="8" t="s">
        <v>52</v>
      </c>
      <c r="F27" s="8" t="s">
        <v>150</v>
      </c>
      <c r="G27" s="8" t="s">
        <v>53</v>
      </c>
      <c r="H27" s="8" t="s">
        <v>150</v>
      </c>
      <c r="I27" s="8" t="s">
        <v>247</v>
      </c>
      <c r="J27" s="8" t="s">
        <v>219</v>
      </c>
      <c r="K27" s="9" t="s">
        <v>32</v>
      </c>
      <c r="L27" s="9" t="s">
        <v>172</v>
      </c>
    </row>
    <row r="28" spans="1:31">
      <c r="A28" s="6" t="s">
        <v>35</v>
      </c>
      <c r="B28" s="7" t="s">
        <v>98</v>
      </c>
      <c r="C28" s="8" t="s">
        <v>71</v>
      </c>
      <c r="D28" s="8" t="s">
        <v>150</v>
      </c>
      <c r="E28" s="8" t="s">
        <v>54</v>
      </c>
      <c r="F28" s="8" t="s">
        <v>150</v>
      </c>
      <c r="G28" s="8" t="s">
        <v>55</v>
      </c>
      <c r="H28" s="8" t="s">
        <v>150</v>
      </c>
      <c r="I28" s="8" t="s">
        <v>247</v>
      </c>
      <c r="J28" s="8" t="s">
        <v>219</v>
      </c>
      <c r="K28" s="9" t="s">
        <v>32</v>
      </c>
      <c r="L28" s="9" t="s">
        <v>181</v>
      </c>
      <c r="U28" t="s">
        <v>138</v>
      </c>
      <c r="V28" t="s">
        <v>139</v>
      </c>
      <c r="Z28" t="s">
        <v>144</v>
      </c>
      <c r="AA28" t="s">
        <v>145</v>
      </c>
      <c r="AB28" t="s">
        <v>142</v>
      </c>
      <c r="AC28" t="s">
        <v>143</v>
      </c>
      <c r="AD28" t="s">
        <v>140</v>
      </c>
      <c r="AE28" t="s">
        <v>141</v>
      </c>
    </row>
    <row r="29" spans="1:31">
      <c r="A29" s="6" t="s">
        <v>100</v>
      </c>
      <c r="B29" s="7" t="s">
        <v>98</v>
      </c>
      <c r="C29" s="8" t="s">
        <v>101</v>
      </c>
      <c r="D29" s="8" t="s">
        <v>150</v>
      </c>
      <c r="E29" s="8" t="s">
        <v>168</v>
      </c>
      <c r="F29" s="8" t="s">
        <v>150</v>
      </c>
      <c r="G29" s="8" t="s">
        <v>170</v>
      </c>
      <c r="H29" s="8" t="s">
        <v>150</v>
      </c>
      <c r="I29" s="8" t="s">
        <v>248</v>
      </c>
      <c r="J29" s="8" t="s">
        <v>108</v>
      </c>
      <c r="K29" s="9" t="s">
        <v>32</v>
      </c>
      <c r="L29" s="9" t="s">
        <v>172</v>
      </c>
      <c r="N29" t="s">
        <v>0</v>
      </c>
      <c r="O29">
        <v>40</v>
      </c>
      <c r="P29">
        <f>40/58</f>
        <v>0.68965517241379315</v>
      </c>
      <c r="S29" t="s">
        <v>132</v>
      </c>
      <c r="T29" t="s">
        <v>257</v>
      </c>
      <c r="U29">
        <f>5/6</f>
        <v>0.83333333333333337</v>
      </c>
      <c r="V29">
        <f>1/6</f>
        <v>0.16666666666666666</v>
      </c>
      <c r="X29" t="s">
        <v>132</v>
      </c>
      <c r="Y29" t="s">
        <v>136</v>
      </c>
      <c r="Z29">
        <f>5/6</f>
        <v>0.83333333333333337</v>
      </c>
      <c r="AA29">
        <f>1/6</f>
        <v>0.16666666666666666</v>
      </c>
      <c r="AB29">
        <v>5</v>
      </c>
      <c r="AC29">
        <v>1</v>
      </c>
      <c r="AD29">
        <v>2.6669999999999998</v>
      </c>
      <c r="AE29">
        <v>0.10299999999999999</v>
      </c>
    </row>
    <row r="30" spans="1:31">
      <c r="A30" s="6" t="s">
        <v>165</v>
      </c>
      <c r="B30" s="7" t="s">
        <v>98</v>
      </c>
      <c r="C30" s="8" t="s">
        <v>150</v>
      </c>
      <c r="D30" s="8" t="s">
        <v>150</v>
      </c>
      <c r="E30" s="8" t="s">
        <v>150</v>
      </c>
      <c r="F30" s="8" t="s">
        <v>150</v>
      </c>
      <c r="G30" s="8" t="s">
        <v>150</v>
      </c>
      <c r="H30" s="8" t="s">
        <v>150</v>
      </c>
      <c r="I30" s="8" t="s">
        <v>247</v>
      </c>
      <c r="J30" s="8" t="s">
        <v>219</v>
      </c>
      <c r="K30" s="9" t="s">
        <v>32</v>
      </c>
      <c r="L30" s="9" t="s">
        <v>220</v>
      </c>
      <c r="N30" t="s">
        <v>1</v>
      </c>
      <c r="O30">
        <v>18</v>
      </c>
      <c r="P30">
        <f>18/58</f>
        <v>0.31034482758620691</v>
      </c>
      <c r="S30" t="s">
        <v>132</v>
      </c>
      <c r="T30" t="s">
        <v>258</v>
      </c>
      <c r="U30">
        <f>6/11</f>
        <v>0.54545454545454541</v>
      </c>
      <c r="V30">
        <f>5/11</f>
        <v>0.45454545454545453</v>
      </c>
      <c r="X30" t="s">
        <v>132</v>
      </c>
      <c r="Y30" t="s">
        <v>137</v>
      </c>
      <c r="Z30">
        <f>6/11</f>
        <v>0.54545454545454541</v>
      </c>
      <c r="AA30">
        <f>5/11</f>
        <v>0.45454545454545453</v>
      </c>
      <c r="AB30">
        <v>6</v>
      </c>
      <c r="AC30">
        <v>5</v>
      </c>
      <c r="AD30">
        <v>9.0999999999999998E-2</v>
      </c>
      <c r="AE30">
        <v>0.76300000000000001</v>
      </c>
    </row>
    <row r="31" spans="1:31">
      <c r="A31" s="6" t="s">
        <v>174</v>
      </c>
      <c r="B31" s="7" t="s">
        <v>98</v>
      </c>
      <c r="C31" s="8" t="s">
        <v>150</v>
      </c>
      <c r="D31" s="8" t="s">
        <v>150</v>
      </c>
      <c r="E31" s="8" t="s">
        <v>150</v>
      </c>
      <c r="F31" s="8" t="s">
        <v>150</v>
      </c>
      <c r="G31" s="8" t="s">
        <v>150</v>
      </c>
      <c r="H31" s="8" t="s">
        <v>150</v>
      </c>
      <c r="I31" s="8" t="s">
        <v>247</v>
      </c>
      <c r="J31" s="8" t="s">
        <v>219</v>
      </c>
      <c r="K31" s="9" t="s">
        <v>32</v>
      </c>
      <c r="L31" s="9" t="s">
        <v>220</v>
      </c>
      <c r="N31" t="s">
        <v>2</v>
      </c>
      <c r="O31">
        <v>58</v>
      </c>
      <c r="S31" t="s">
        <v>133</v>
      </c>
      <c r="T31" t="s">
        <v>261</v>
      </c>
      <c r="U31">
        <f>4/7</f>
        <v>0.5714285714285714</v>
      </c>
      <c r="V31">
        <f>3/7</f>
        <v>0.42857142857142855</v>
      </c>
      <c r="X31" t="s">
        <v>133</v>
      </c>
      <c r="Y31" t="s">
        <v>136</v>
      </c>
      <c r="Z31">
        <f>4/7</f>
        <v>0.5714285714285714</v>
      </c>
      <c r="AA31">
        <f>3/7</f>
        <v>0.42857142857142855</v>
      </c>
      <c r="AB31">
        <v>4</v>
      </c>
      <c r="AC31">
        <v>3</v>
      </c>
      <c r="AD31">
        <v>0.14299999999999999</v>
      </c>
      <c r="AE31">
        <v>0.70550000000000002</v>
      </c>
    </row>
    <row r="32" spans="1:31">
      <c r="A32" s="6" t="s">
        <v>216</v>
      </c>
      <c r="B32" s="7" t="s">
        <v>98</v>
      </c>
      <c r="C32" s="8" t="s">
        <v>150</v>
      </c>
      <c r="D32" s="8" t="s">
        <v>150</v>
      </c>
      <c r="E32" s="8" t="s">
        <v>150</v>
      </c>
      <c r="F32" s="8" t="s">
        <v>150</v>
      </c>
      <c r="G32" s="8" t="s">
        <v>150</v>
      </c>
      <c r="H32" s="8" t="s">
        <v>150</v>
      </c>
      <c r="I32" s="8" t="s">
        <v>247</v>
      </c>
      <c r="J32" s="8" t="s">
        <v>99</v>
      </c>
      <c r="K32" s="9" t="s">
        <v>32</v>
      </c>
      <c r="L32" s="9" t="s">
        <v>220</v>
      </c>
      <c r="S32" t="s">
        <v>133</v>
      </c>
      <c r="T32" t="s">
        <v>262</v>
      </c>
      <c r="U32">
        <f>10/13</f>
        <v>0.76923076923076927</v>
      </c>
      <c r="V32">
        <f>3/13</f>
        <v>0.23076923076923078</v>
      </c>
      <c r="X32" t="s">
        <v>133</v>
      </c>
      <c r="Y32" t="s">
        <v>137</v>
      </c>
      <c r="Z32">
        <f>10/13</f>
        <v>0.76923076923076927</v>
      </c>
      <c r="AA32">
        <f>3/13</f>
        <v>0.23076923076923078</v>
      </c>
      <c r="AB32">
        <v>10</v>
      </c>
      <c r="AC32">
        <v>3</v>
      </c>
      <c r="AD32">
        <v>3.7690000000000001</v>
      </c>
      <c r="AE32">
        <v>5.2200000000000003E-2</v>
      </c>
    </row>
    <row r="33" spans="1:31">
      <c r="A33" s="6" t="s">
        <v>218</v>
      </c>
      <c r="B33" s="7" t="s">
        <v>98</v>
      </c>
      <c r="C33" s="8" t="s">
        <v>150</v>
      </c>
      <c r="D33" s="8" t="s">
        <v>150</v>
      </c>
      <c r="E33" s="8" t="s">
        <v>150</v>
      </c>
      <c r="F33" s="8" t="s">
        <v>150</v>
      </c>
      <c r="G33" s="8" t="s">
        <v>150</v>
      </c>
      <c r="H33" s="8" t="s">
        <v>150</v>
      </c>
      <c r="I33" s="8" t="s">
        <v>247</v>
      </c>
      <c r="J33" s="8" t="s">
        <v>219</v>
      </c>
      <c r="K33" s="9" t="s">
        <v>32</v>
      </c>
      <c r="L33" s="9" t="s">
        <v>220</v>
      </c>
      <c r="P33" t="s">
        <v>3</v>
      </c>
      <c r="S33" t="s">
        <v>134</v>
      </c>
      <c r="T33" t="s">
        <v>259</v>
      </c>
      <c r="U33">
        <f>8/12</f>
        <v>0.66666666666666663</v>
      </c>
      <c r="V33">
        <f>4/12</f>
        <v>0.33333333333333331</v>
      </c>
      <c r="X33" t="s">
        <v>134</v>
      </c>
      <c r="Y33" t="s">
        <v>136</v>
      </c>
      <c r="Z33">
        <f>8/12</f>
        <v>0.66666666666666663</v>
      </c>
      <c r="AA33">
        <f>4/12</f>
        <v>0.33333333333333331</v>
      </c>
      <c r="AB33">
        <v>8</v>
      </c>
      <c r="AC33">
        <v>4</v>
      </c>
      <c r="AD33">
        <v>1.333</v>
      </c>
      <c r="AE33">
        <v>0.2482</v>
      </c>
    </row>
    <row r="34" spans="1:31">
      <c r="A34" s="6" t="s">
        <v>102</v>
      </c>
      <c r="B34" s="7" t="s">
        <v>98</v>
      </c>
      <c r="C34" s="8" t="s">
        <v>150</v>
      </c>
      <c r="D34" s="8" t="s">
        <v>150</v>
      </c>
      <c r="E34" s="8" t="s">
        <v>150</v>
      </c>
      <c r="F34" s="8" t="s">
        <v>150</v>
      </c>
      <c r="G34" s="8" t="s">
        <v>150</v>
      </c>
      <c r="H34" s="8" t="s">
        <v>150</v>
      </c>
      <c r="I34" s="8" t="s">
        <v>247</v>
      </c>
      <c r="J34" s="8" t="s">
        <v>30</v>
      </c>
      <c r="K34" s="9" t="s">
        <v>43</v>
      </c>
      <c r="L34" s="9" t="s">
        <v>226</v>
      </c>
      <c r="P34">
        <v>22</v>
      </c>
      <c r="Q34">
        <f>22/50</f>
        <v>0.44</v>
      </c>
      <c r="S34" t="s">
        <v>134</v>
      </c>
      <c r="T34" t="s">
        <v>260</v>
      </c>
      <c r="U34">
        <f>9/9</f>
        <v>1</v>
      </c>
      <c r="V34">
        <v>0</v>
      </c>
      <c r="X34" t="s">
        <v>134</v>
      </c>
      <c r="Y34" t="s">
        <v>137</v>
      </c>
      <c r="Z34">
        <f>9/9</f>
        <v>1</v>
      </c>
      <c r="AA34">
        <v>0</v>
      </c>
      <c r="AB34">
        <v>9</v>
      </c>
      <c r="AC34">
        <v>0</v>
      </c>
      <c r="AD34">
        <v>9</v>
      </c>
      <c r="AE34">
        <v>2.7000000000000001E-3</v>
      </c>
    </row>
    <row r="35" spans="1:31">
      <c r="A35" s="6" t="s">
        <v>221</v>
      </c>
      <c r="B35" s="7" t="s">
        <v>98</v>
      </c>
      <c r="C35" s="8" t="s">
        <v>80</v>
      </c>
      <c r="D35" s="8" t="s">
        <v>150</v>
      </c>
      <c r="E35" s="8" t="s">
        <v>168</v>
      </c>
      <c r="F35" s="8" t="s">
        <v>150</v>
      </c>
      <c r="G35" s="8" t="s">
        <v>170</v>
      </c>
      <c r="H35" s="8" t="s">
        <v>150</v>
      </c>
      <c r="I35" s="8" t="s">
        <v>248</v>
      </c>
      <c r="J35" s="8" t="s">
        <v>108</v>
      </c>
      <c r="K35" s="9" t="s">
        <v>43</v>
      </c>
      <c r="L35" s="9" t="s">
        <v>173</v>
      </c>
      <c r="P35">
        <v>50</v>
      </c>
      <c r="S35" t="s">
        <v>256</v>
      </c>
      <c r="T35" t="s">
        <v>265</v>
      </c>
      <c r="U35">
        <f>15/23</f>
        <v>0.65217391304347827</v>
      </c>
      <c r="V35">
        <f>8/23</f>
        <v>0.34782608695652173</v>
      </c>
    </row>
    <row r="36" spans="1:31">
      <c r="A36" s="6" t="s">
        <v>81</v>
      </c>
      <c r="B36" s="7" t="s">
        <v>98</v>
      </c>
      <c r="C36" s="8" t="s">
        <v>82</v>
      </c>
      <c r="D36" s="8" t="s">
        <v>150</v>
      </c>
      <c r="E36" s="8" t="s">
        <v>168</v>
      </c>
      <c r="F36" s="8" t="s">
        <v>150</v>
      </c>
      <c r="G36" s="8" t="s">
        <v>170</v>
      </c>
      <c r="H36" s="8" t="s">
        <v>150</v>
      </c>
      <c r="I36" s="8" t="s">
        <v>248</v>
      </c>
      <c r="J36" s="8" t="s">
        <v>108</v>
      </c>
      <c r="K36" s="9" t="s">
        <v>32</v>
      </c>
      <c r="L36" s="9" t="s">
        <v>172</v>
      </c>
      <c r="S36" t="s">
        <v>256</v>
      </c>
      <c r="T36" t="s">
        <v>266</v>
      </c>
      <c r="U36">
        <f>22/30</f>
        <v>0.73333333333333328</v>
      </c>
      <c r="V36">
        <f>8/30</f>
        <v>0.26666666666666666</v>
      </c>
    </row>
    <row r="37" spans="1:31">
      <c r="A37" s="6" t="s">
        <v>64</v>
      </c>
      <c r="B37" s="7" t="s">
        <v>98</v>
      </c>
      <c r="C37" s="8" t="s">
        <v>101</v>
      </c>
      <c r="D37" s="8" t="s">
        <v>150</v>
      </c>
      <c r="E37" s="8" t="s">
        <v>168</v>
      </c>
      <c r="F37" s="8" t="s">
        <v>150</v>
      </c>
      <c r="G37" s="8" t="s">
        <v>170</v>
      </c>
      <c r="H37" s="8" t="s">
        <v>150</v>
      </c>
      <c r="I37" s="8" t="s">
        <v>248</v>
      </c>
      <c r="J37" s="8" t="s">
        <v>108</v>
      </c>
      <c r="K37" s="9" t="s">
        <v>32</v>
      </c>
      <c r="L37" s="9" t="s">
        <v>172</v>
      </c>
      <c r="S37" t="s">
        <v>256</v>
      </c>
      <c r="T37" t="s">
        <v>135</v>
      </c>
      <c r="U37">
        <f>37/53</f>
        <v>0.69811320754716977</v>
      </c>
      <c r="V37">
        <f>16/53</f>
        <v>0.30188679245283018</v>
      </c>
    </row>
    <row r="38" spans="1:31">
      <c r="A38" s="6" t="s">
        <v>109</v>
      </c>
      <c r="B38" s="7" t="s">
        <v>98</v>
      </c>
      <c r="C38" s="8" t="s">
        <v>150</v>
      </c>
      <c r="D38" s="8" t="s">
        <v>150</v>
      </c>
      <c r="E38" s="8" t="s">
        <v>150</v>
      </c>
      <c r="F38" s="8" t="s">
        <v>150</v>
      </c>
      <c r="G38" s="8" t="s">
        <v>150</v>
      </c>
      <c r="H38" s="8" t="s">
        <v>150</v>
      </c>
      <c r="I38" s="8" t="s">
        <v>247</v>
      </c>
      <c r="J38" s="8" t="s">
        <v>99</v>
      </c>
      <c r="K38" s="9" t="s">
        <v>32</v>
      </c>
      <c r="L38" s="9" t="s">
        <v>220</v>
      </c>
      <c r="S38" t="s">
        <v>134</v>
      </c>
      <c r="T38" t="s">
        <v>135</v>
      </c>
      <c r="U38">
        <f>17/21</f>
        <v>0.80952380952380953</v>
      </c>
      <c r="V38">
        <f>4/21</f>
        <v>0.19047619047619047</v>
      </c>
    </row>
    <row r="39" spans="1:31">
      <c r="A39" s="6" t="s">
        <v>111</v>
      </c>
      <c r="B39" s="7" t="s">
        <v>98</v>
      </c>
      <c r="C39" s="8" t="s">
        <v>83</v>
      </c>
      <c r="D39" s="8" t="s">
        <v>150</v>
      </c>
      <c r="E39" s="8" t="s">
        <v>168</v>
      </c>
      <c r="F39" s="8" t="s">
        <v>150</v>
      </c>
      <c r="G39" s="8" t="s">
        <v>170</v>
      </c>
      <c r="H39" s="8" t="s">
        <v>150</v>
      </c>
      <c r="I39" s="8" t="s">
        <v>248</v>
      </c>
      <c r="J39" s="8" t="s">
        <v>108</v>
      </c>
      <c r="K39" s="9" t="s">
        <v>32</v>
      </c>
      <c r="L39" s="9" t="s">
        <v>172</v>
      </c>
      <c r="S39" t="s">
        <v>133</v>
      </c>
      <c r="T39" t="s">
        <v>135</v>
      </c>
      <c r="U39">
        <f>14/20</f>
        <v>0.7</v>
      </c>
      <c r="V39">
        <f>6/20</f>
        <v>0.3</v>
      </c>
    </row>
    <row r="40" spans="1:31">
      <c r="A40" s="6" t="s">
        <v>84</v>
      </c>
      <c r="B40" s="7" t="s">
        <v>98</v>
      </c>
      <c r="C40" s="8" t="s">
        <v>85</v>
      </c>
      <c r="D40" s="8" t="s">
        <v>86</v>
      </c>
      <c r="E40" s="8" t="s">
        <v>168</v>
      </c>
      <c r="F40" s="8" t="s">
        <v>40</v>
      </c>
      <c r="G40" s="8" t="s">
        <v>170</v>
      </c>
      <c r="H40" s="8" t="s">
        <v>170</v>
      </c>
      <c r="I40" s="8" t="s">
        <v>248</v>
      </c>
      <c r="J40" s="8" t="s">
        <v>131</v>
      </c>
      <c r="K40" t="s">
        <v>43</v>
      </c>
      <c r="L40" s="9" t="s">
        <v>173</v>
      </c>
      <c r="S40" t="s">
        <v>132</v>
      </c>
      <c r="T40" t="s">
        <v>135</v>
      </c>
      <c r="U40">
        <f>11/17</f>
        <v>0.6470588235294118</v>
      </c>
      <c r="V40">
        <f>6/17</f>
        <v>0.35294117647058826</v>
      </c>
    </row>
    <row r="41" spans="1:31">
      <c r="A41" s="6" t="s">
        <v>87</v>
      </c>
      <c r="B41" s="7" t="s">
        <v>96</v>
      </c>
      <c r="C41" s="8" t="s">
        <v>88</v>
      </c>
      <c r="D41" s="8" t="s">
        <v>89</v>
      </c>
      <c r="E41" s="8" t="s">
        <v>52</v>
      </c>
      <c r="F41" s="8" t="s">
        <v>40</v>
      </c>
      <c r="G41" s="8" t="s">
        <v>53</v>
      </c>
      <c r="H41" s="8" t="s">
        <v>170</v>
      </c>
      <c r="I41" s="8" t="s">
        <v>248</v>
      </c>
      <c r="J41" s="8" t="s">
        <v>56</v>
      </c>
      <c r="K41" s="9" t="s">
        <v>118</v>
      </c>
      <c r="L41" s="9" t="s">
        <v>164</v>
      </c>
    </row>
    <row r="42" spans="1:31">
      <c r="A42" s="6" t="s">
        <v>203</v>
      </c>
      <c r="B42" s="7" t="s">
        <v>98</v>
      </c>
      <c r="C42" s="8" t="s">
        <v>127</v>
      </c>
      <c r="D42" s="8" t="s">
        <v>204</v>
      </c>
      <c r="E42" s="8" t="s">
        <v>148</v>
      </c>
      <c r="F42" s="8" t="s">
        <v>40</v>
      </c>
      <c r="G42" s="8" t="s">
        <v>148</v>
      </c>
      <c r="H42" s="8" t="s">
        <v>170</v>
      </c>
      <c r="I42" s="8" t="s">
        <v>248</v>
      </c>
      <c r="J42" s="8" t="s">
        <v>122</v>
      </c>
      <c r="K42" s="9" t="s">
        <v>118</v>
      </c>
      <c r="L42" s="9" t="s">
        <v>164</v>
      </c>
    </row>
    <row r="43" spans="1:31">
      <c r="A43" s="6" t="s">
        <v>116</v>
      </c>
      <c r="B43" s="7" t="s">
        <v>98</v>
      </c>
      <c r="C43" s="8" t="s">
        <v>205</v>
      </c>
      <c r="D43" s="8" t="s">
        <v>150</v>
      </c>
      <c r="E43" s="8" t="s">
        <v>168</v>
      </c>
      <c r="F43" s="8" t="s">
        <v>150</v>
      </c>
      <c r="G43" s="8" t="s">
        <v>170</v>
      </c>
      <c r="H43" s="8" t="s">
        <v>150</v>
      </c>
      <c r="I43" s="8" t="s">
        <v>248</v>
      </c>
      <c r="J43" s="8" t="s">
        <v>108</v>
      </c>
      <c r="K43" s="9" t="s">
        <v>118</v>
      </c>
      <c r="L43" s="9" t="s">
        <v>173</v>
      </c>
    </row>
    <row r="44" spans="1:31">
      <c r="A44" s="6" t="s">
        <v>206</v>
      </c>
      <c r="B44" s="7" t="s">
        <v>98</v>
      </c>
      <c r="C44" s="8" t="s">
        <v>88</v>
      </c>
      <c r="D44" s="8" t="s">
        <v>207</v>
      </c>
      <c r="E44" s="8" t="s">
        <v>52</v>
      </c>
      <c r="F44" s="8" t="s">
        <v>40</v>
      </c>
      <c r="G44" s="8" t="s">
        <v>53</v>
      </c>
      <c r="H44" s="8" t="s">
        <v>170</v>
      </c>
      <c r="I44" s="8" t="s">
        <v>248</v>
      </c>
      <c r="J44" s="8" t="s">
        <v>57</v>
      </c>
      <c r="K44" s="9" t="s">
        <v>118</v>
      </c>
      <c r="L44" s="9" t="s">
        <v>164</v>
      </c>
    </row>
    <row r="45" spans="1:31">
      <c r="A45" s="6" t="s">
        <v>123</v>
      </c>
      <c r="B45" s="7" t="s">
        <v>98</v>
      </c>
      <c r="C45" s="10" t="s">
        <v>150</v>
      </c>
      <c r="D45" s="10" t="s">
        <v>208</v>
      </c>
      <c r="E45" s="10" t="s">
        <v>150</v>
      </c>
      <c r="F45" s="10" t="s">
        <v>148</v>
      </c>
      <c r="G45" s="10" t="s">
        <v>150</v>
      </c>
      <c r="H45" s="10" t="s">
        <v>148</v>
      </c>
      <c r="I45" s="10" t="s">
        <v>247</v>
      </c>
      <c r="J45" s="11" t="s">
        <v>219</v>
      </c>
      <c r="K45" s="9" t="s">
        <v>118</v>
      </c>
      <c r="L45" s="9" t="s">
        <v>226</v>
      </c>
    </row>
    <row r="46" spans="1:31">
      <c r="A46" s="6" t="s">
        <v>126</v>
      </c>
      <c r="B46" s="7" t="s">
        <v>98</v>
      </c>
      <c r="C46" s="8" t="s">
        <v>209</v>
      </c>
      <c r="D46" s="8" t="s">
        <v>210</v>
      </c>
      <c r="E46" s="8" t="s">
        <v>148</v>
      </c>
      <c r="F46" s="8" t="s">
        <v>168</v>
      </c>
      <c r="G46" s="8" t="s">
        <v>148</v>
      </c>
      <c r="H46" s="8" t="s">
        <v>41</v>
      </c>
      <c r="I46" s="8" t="s">
        <v>248</v>
      </c>
      <c r="J46" s="8" t="s">
        <v>113</v>
      </c>
      <c r="K46" s="9" t="s">
        <v>118</v>
      </c>
      <c r="L46" s="9" t="s">
        <v>173</v>
      </c>
      <c r="S46" t="s">
        <v>252</v>
      </c>
    </row>
    <row r="47" spans="1:31">
      <c r="A47" s="6" t="s">
        <v>128</v>
      </c>
      <c r="B47" s="7" t="s">
        <v>98</v>
      </c>
      <c r="C47" s="8" t="s">
        <v>211</v>
      </c>
      <c r="D47" s="8" t="s">
        <v>212</v>
      </c>
      <c r="E47" s="8" t="s">
        <v>148</v>
      </c>
      <c r="F47" s="8" t="s">
        <v>168</v>
      </c>
      <c r="G47" s="8" t="s">
        <v>148</v>
      </c>
      <c r="H47" s="8" t="s">
        <v>41</v>
      </c>
      <c r="I47" s="8" t="s">
        <v>248</v>
      </c>
      <c r="J47" s="8" t="s">
        <v>213</v>
      </c>
      <c r="K47" s="9" t="s">
        <v>118</v>
      </c>
      <c r="L47" s="9" t="s">
        <v>173</v>
      </c>
      <c r="S47" t="s">
        <v>249</v>
      </c>
      <c r="T47" t="s">
        <v>150</v>
      </c>
      <c r="U47" t="s">
        <v>255</v>
      </c>
    </row>
    <row r="48" spans="1:31">
      <c r="A48" s="6" t="s">
        <v>91</v>
      </c>
      <c r="B48" s="7" t="s">
        <v>98</v>
      </c>
      <c r="C48" s="8" t="s">
        <v>150</v>
      </c>
      <c r="D48" s="8" t="s">
        <v>214</v>
      </c>
      <c r="E48" s="8" t="s">
        <v>150</v>
      </c>
      <c r="F48" s="8" t="s">
        <v>168</v>
      </c>
      <c r="G48" s="8" t="s">
        <v>150</v>
      </c>
      <c r="H48" s="8" t="s">
        <v>41</v>
      </c>
      <c r="I48" s="8" t="s">
        <v>248</v>
      </c>
      <c r="J48" s="8" t="s">
        <v>113</v>
      </c>
      <c r="K48" s="9" t="s">
        <v>118</v>
      </c>
      <c r="L48" s="9" t="s">
        <v>173</v>
      </c>
      <c r="S48" t="s">
        <v>250</v>
      </c>
      <c r="T48">
        <f>COUNTIF(I19:I26,"N")</f>
        <v>3</v>
      </c>
      <c r="U48">
        <f>COUNTIF(I19:I26,"Y")</f>
        <v>5</v>
      </c>
      <c r="V48">
        <f>3/8</f>
        <v>0.375</v>
      </c>
      <c r="W48">
        <f>5/8</f>
        <v>0.625</v>
      </c>
    </row>
    <row r="49" spans="1:23">
      <c r="A49" s="6" t="s">
        <v>93</v>
      </c>
      <c r="B49" s="7" t="s">
        <v>98</v>
      </c>
      <c r="C49" s="8" t="s">
        <v>215</v>
      </c>
      <c r="D49" s="8" t="s">
        <v>151</v>
      </c>
      <c r="E49" s="8" t="s">
        <v>168</v>
      </c>
      <c r="F49" s="8" t="s">
        <v>168</v>
      </c>
      <c r="G49" s="8" t="s">
        <v>170</v>
      </c>
      <c r="H49" s="8" t="s">
        <v>41</v>
      </c>
      <c r="I49" s="8" t="s">
        <v>248</v>
      </c>
      <c r="J49" s="8" t="s">
        <v>152</v>
      </c>
      <c r="K49" s="9" t="s">
        <v>118</v>
      </c>
      <c r="L49" s="9" t="s">
        <v>173</v>
      </c>
      <c r="S49" t="s">
        <v>251</v>
      </c>
      <c r="T49">
        <f>COUNTIF(I2:I18,"N")</f>
        <v>8</v>
      </c>
      <c r="U49">
        <f>COUNTIF(I2:I18,"Y")</f>
        <v>9</v>
      </c>
      <c r="V49">
        <f>8/17</f>
        <v>0.47058823529411764</v>
      </c>
      <c r="W49">
        <f>9/17</f>
        <v>0.52941176470588236</v>
      </c>
    </row>
    <row r="50" spans="1:23">
      <c r="A50" s="6" t="s">
        <v>153</v>
      </c>
      <c r="B50" s="7" t="s">
        <v>98</v>
      </c>
      <c r="C50" s="8" t="s">
        <v>150</v>
      </c>
      <c r="D50" s="8" t="s">
        <v>154</v>
      </c>
      <c r="E50" s="8" t="s">
        <v>150</v>
      </c>
      <c r="F50" s="8" t="s">
        <v>40</v>
      </c>
      <c r="G50" s="8" t="s">
        <v>150</v>
      </c>
      <c r="H50" s="8" t="s">
        <v>170</v>
      </c>
      <c r="I50" s="8" t="s">
        <v>248</v>
      </c>
      <c r="J50" s="8" t="s">
        <v>125</v>
      </c>
      <c r="K50" s="9" t="s">
        <v>118</v>
      </c>
      <c r="L50" s="9" t="s">
        <v>164</v>
      </c>
      <c r="S50" t="s">
        <v>253</v>
      </c>
    </row>
    <row r="51" spans="1:23">
      <c r="A51" s="6" t="s">
        <v>155</v>
      </c>
      <c r="B51" s="7" t="s">
        <v>98</v>
      </c>
      <c r="C51" s="8" t="s">
        <v>150</v>
      </c>
      <c r="D51" s="8" t="s">
        <v>150</v>
      </c>
      <c r="E51" s="8" t="s">
        <v>150</v>
      </c>
      <c r="F51" s="8" t="s">
        <v>150</v>
      </c>
      <c r="G51" s="8" t="s">
        <v>150</v>
      </c>
      <c r="H51" s="8" t="s">
        <v>150</v>
      </c>
      <c r="I51" s="8" t="s">
        <v>247</v>
      </c>
      <c r="J51" s="8" t="s">
        <v>156</v>
      </c>
      <c r="K51" s="9" t="s">
        <v>118</v>
      </c>
      <c r="L51" s="9" t="s">
        <v>226</v>
      </c>
      <c r="S51" t="s">
        <v>250</v>
      </c>
      <c r="T51">
        <f>COUNTIF(I41:I52,"N")</f>
        <v>3</v>
      </c>
      <c r="U51">
        <f>COUNTIF(I41:I52,"Y")</f>
        <v>9</v>
      </c>
      <c r="V51">
        <f>3/12</f>
        <v>0.25</v>
      </c>
      <c r="W51">
        <f>9/12</f>
        <v>0.75</v>
      </c>
    </row>
    <row r="52" spans="1:23">
      <c r="A52" s="6" t="s">
        <v>94</v>
      </c>
      <c r="B52" s="7" t="s">
        <v>98</v>
      </c>
      <c r="C52" s="8" t="s">
        <v>150</v>
      </c>
      <c r="D52" s="8" t="s">
        <v>150</v>
      </c>
      <c r="E52" s="8" t="s">
        <v>150</v>
      </c>
      <c r="F52" s="8" t="s">
        <v>150</v>
      </c>
      <c r="G52" s="8" t="s">
        <v>150</v>
      </c>
      <c r="H52" s="8" t="s">
        <v>150</v>
      </c>
      <c r="I52" s="8" t="s">
        <v>247</v>
      </c>
      <c r="J52" s="8" t="s">
        <v>99</v>
      </c>
      <c r="K52" s="9" t="s">
        <v>118</v>
      </c>
      <c r="L52" s="9" t="s">
        <v>226</v>
      </c>
      <c r="S52" t="s">
        <v>251</v>
      </c>
      <c r="T52">
        <f>COUNTIF(I27:I40,"N")</f>
        <v>8</v>
      </c>
      <c r="U52">
        <f>COUNTIF(I27:I40,"Y")</f>
        <v>6</v>
      </c>
      <c r="V52">
        <f>8/14</f>
        <v>0.5714285714285714</v>
      </c>
      <c r="W52">
        <f>6/14</f>
        <v>0.42857142857142855</v>
      </c>
    </row>
    <row r="53" spans="1:23">
      <c r="A53" s="6" t="s">
        <v>95</v>
      </c>
      <c r="B53" s="7" t="s">
        <v>158</v>
      </c>
      <c r="C53" s="8" t="s">
        <v>159</v>
      </c>
      <c r="D53" s="8" t="s">
        <v>150</v>
      </c>
      <c r="E53" s="8" t="s">
        <v>168</v>
      </c>
      <c r="F53" s="8" t="s">
        <v>150</v>
      </c>
      <c r="G53" s="8" t="s">
        <v>170</v>
      </c>
      <c r="H53" s="8" t="s">
        <v>150</v>
      </c>
      <c r="I53" s="8" t="s">
        <v>248</v>
      </c>
      <c r="J53" s="8" t="s">
        <v>108</v>
      </c>
      <c r="K53" s="9" t="s">
        <v>43</v>
      </c>
      <c r="L53" s="9" t="s">
        <v>173</v>
      </c>
      <c r="S53" t="s">
        <v>254</v>
      </c>
    </row>
    <row r="54" spans="1:23">
      <c r="A54" s="6" t="s">
        <v>35</v>
      </c>
      <c r="B54" s="7" t="s">
        <v>160</v>
      </c>
      <c r="C54" s="8" t="s">
        <v>150</v>
      </c>
      <c r="D54" s="8" t="s">
        <v>150</v>
      </c>
      <c r="E54" s="8" t="s">
        <v>150</v>
      </c>
      <c r="F54" s="8" t="s">
        <v>150</v>
      </c>
      <c r="G54" s="8" t="s">
        <v>150</v>
      </c>
      <c r="H54" s="8" t="s">
        <v>150</v>
      </c>
      <c r="I54" s="8" t="s">
        <v>248</v>
      </c>
      <c r="J54" s="8" t="s">
        <v>99</v>
      </c>
      <c r="K54" s="9" t="s">
        <v>43</v>
      </c>
      <c r="L54" s="9" t="s">
        <v>226</v>
      </c>
      <c r="S54" t="s">
        <v>250</v>
      </c>
      <c r="T54">
        <f>COUNTIF(I72:I83,"N")</f>
        <v>6</v>
      </c>
      <c r="U54">
        <f>COUNTIF(I72:I83,"Y")</f>
        <v>6</v>
      </c>
      <c r="V54">
        <v>0.5</v>
      </c>
      <c r="W54">
        <v>0.5</v>
      </c>
    </row>
    <row r="55" spans="1:23">
      <c r="A55" s="6" t="s">
        <v>100</v>
      </c>
      <c r="B55" s="7" t="s">
        <v>160</v>
      </c>
      <c r="C55" s="8" t="s">
        <v>161</v>
      </c>
      <c r="D55" s="8" t="s">
        <v>150</v>
      </c>
      <c r="E55" s="8" t="s">
        <v>168</v>
      </c>
      <c r="F55" s="8" t="s">
        <v>150</v>
      </c>
      <c r="G55" s="8" t="s">
        <v>170</v>
      </c>
      <c r="H55" s="8" t="s">
        <v>150</v>
      </c>
      <c r="I55" s="8" t="s">
        <v>248</v>
      </c>
      <c r="J55" s="8" t="s">
        <v>108</v>
      </c>
      <c r="K55" s="9" t="s">
        <v>43</v>
      </c>
      <c r="L55" s="9" t="s">
        <v>173</v>
      </c>
      <c r="N55" t="s">
        <v>193</v>
      </c>
      <c r="S55" t="s">
        <v>251</v>
      </c>
      <c r="T55">
        <f>COUNTIF(I53:I71,"N")</f>
        <v>7</v>
      </c>
      <c r="U55">
        <f>COUNTIF(I53:I71,"Y")</f>
        <v>12</v>
      </c>
      <c r="V55">
        <f>7/19</f>
        <v>0.36842105263157893</v>
      </c>
      <c r="W55">
        <f>12/19</f>
        <v>0.63157894736842102</v>
      </c>
    </row>
    <row r="56" spans="1:23">
      <c r="A56" s="6" t="s">
        <v>165</v>
      </c>
      <c r="B56" s="7" t="s">
        <v>160</v>
      </c>
      <c r="C56" s="8" t="s">
        <v>150</v>
      </c>
      <c r="D56" s="8" t="s">
        <v>150</v>
      </c>
      <c r="E56" s="8" t="s">
        <v>150</v>
      </c>
      <c r="F56" s="8" t="s">
        <v>150</v>
      </c>
      <c r="G56" s="8" t="s">
        <v>150</v>
      </c>
      <c r="H56" s="8" t="s">
        <v>150</v>
      </c>
      <c r="I56" s="8" t="s">
        <v>248</v>
      </c>
      <c r="J56" s="8" t="s">
        <v>219</v>
      </c>
      <c r="K56" s="9" t="s">
        <v>43</v>
      </c>
      <c r="L56" s="9" t="s">
        <v>226</v>
      </c>
      <c r="O56" t="s">
        <v>99</v>
      </c>
      <c r="P56" t="s">
        <v>245</v>
      </c>
      <c r="Q56" t="s">
        <v>236</v>
      </c>
      <c r="S56" t="s">
        <v>256</v>
      </c>
    </row>
    <row r="57" spans="1:23">
      <c r="A57" s="6" t="s">
        <v>174</v>
      </c>
      <c r="B57" s="7" t="s">
        <v>160</v>
      </c>
      <c r="C57" s="8" t="s">
        <v>162</v>
      </c>
      <c r="D57" s="8" t="s">
        <v>163</v>
      </c>
      <c r="E57" s="8" t="s">
        <v>168</v>
      </c>
      <c r="F57" s="8" t="s">
        <v>168</v>
      </c>
      <c r="G57" s="8" t="s">
        <v>170</v>
      </c>
      <c r="H57" s="8" t="s">
        <v>41</v>
      </c>
      <c r="I57" s="8" t="s">
        <v>248</v>
      </c>
      <c r="J57" s="8" t="s">
        <v>152</v>
      </c>
      <c r="K57" s="9" t="s">
        <v>43</v>
      </c>
      <c r="L57" s="9" t="s">
        <v>173</v>
      </c>
      <c r="M57" s="8" t="s">
        <v>240</v>
      </c>
      <c r="N57" t="s">
        <v>196</v>
      </c>
      <c r="O57">
        <v>7</v>
      </c>
      <c r="P57">
        <v>1</v>
      </c>
      <c r="Q57">
        <v>0</v>
      </c>
      <c r="S57" t="s">
        <v>250</v>
      </c>
      <c r="T57">
        <f>SUM(T48,T51,T54)</f>
        <v>12</v>
      </c>
      <c r="U57">
        <f>SUM(U48,U51,U54)</f>
        <v>20</v>
      </c>
      <c r="V57">
        <f>12/32</f>
        <v>0.375</v>
      </c>
      <c r="W57">
        <f>20/32</f>
        <v>0.625</v>
      </c>
    </row>
    <row r="58" spans="1:23">
      <c r="A58" s="6" t="s">
        <v>216</v>
      </c>
      <c r="B58" s="7" t="s">
        <v>160</v>
      </c>
      <c r="C58" s="8" t="s">
        <v>231</v>
      </c>
      <c r="D58" s="8" t="s">
        <v>150</v>
      </c>
      <c r="E58" s="8" t="s">
        <v>168</v>
      </c>
      <c r="F58" s="8" t="s">
        <v>150</v>
      </c>
      <c r="G58" s="8" t="s">
        <v>170</v>
      </c>
      <c r="H58" s="8" t="s">
        <v>150</v>
      </c>
      <c r="I58" s="8" t="s">
        <v>248</v>
      </c>
      <c r="J58" s="8" t="s">
        <v>108</v>
      </c>
      <c r="K58" s="9" t="s">
        <v>43</v>
      </c>
      <c r="L58" s="9" t="s">
        <v>173</v>
      </c>
      <c r="M58" s="8" t="s">
        <v>240</v>
      </c>
      <c r="N58" t="s">
        <v>197</v>
      </c>
      <c r="O58">
        <v>3</v>
      </c>
      <c r="P58">
        <v>1</v>
      </c>
      <c r="Q58">
        <v>4</v>
      </c>
      <c r="S58" t="s">
        <v>251</v>
      </c>
      <c r="T58">
        <f>SUM(T55,T52,T49)</f>
        <v>23</v>
      </c>
      <c r="U58">
        <f>SUM(U55,U52,U49)</f>
        <v>27</v>
      </c>
      <c r="V58">
        <f>23/50</f>
        <v>0.46</v>
      </c>
      <c r="W58">
        <f>27/50</f>
        <v>0.54</v>
      </c>
    </row>
    <row r="59" spans="1:23">
      <c r="A59" s="6" t="s">
        <v>218</v>
      </c>
      <c r="B59" s="7" t="s">
        <v>160</v>
      </c>
      <c r="C59" s="8" t="s">
        <v>150</v>
      </c>
      <c r="D59" s="8" t="s">
        <v>150</v>
      </c>
      <c r="E59" s="8" t="s">
        <v>150</v>
      </c>
      <c r="F59" s="8" t="s">
        <v>150</v>
      </c>
      <c r="G59" s="8" t="s">
        <v>150</v>
      </c>
      <c r="H59" s="8" t="s">
        <v>150</v>
      </c>
      <c r="I59" s="8" t="s">
        <v>247</v>
      </c>
      <c r="J59" s="8" t="s">
        <v>219</v>
      </c>
      <c r="K59" s="9" t="s">
        <v>43</v>
      </c>
      <c r="L59" s="9" t="s">
        <v>226</v>
      </c>
      <c r="M59" s="18" t="s">
        <v>241</v>
      </c>
      <c r="N59" t="s">
        <v>196</v>
      </c>
      <c r="O59">
        <v>11</v>
      </c>
      <c r="P59">
        <v>4</v>
      </c>
      <c r="Q59">
        <v>2</v>
      </c>
    </row>
    <row r="60" spans="1:23">
      <c r="A60" s="6" t="s">
        <v>102</v>
      </c>
      <c r="B60" s="7" t="s">
        <v>160</v>
      </c>
      <c r="C60" s="8" t="s">
        <v>227</v>
      </c>
      <c r="D60" s="8" t="s">
        <v>150</v>
      </c>
      <c r="E60" s="8" t="s">
        <v>40</v>
      </c>
      <c r="F60" s="8" t="s">
        <v>150</v>
      </c>
      <c r="G60" s="8" t="s">
        <v>41</v>
      </c>
      <c r="H60" s="8" t="s">
        <v>150</v>
      </c>
      <c r="I60" s="8" t="s">
        <v>248</v>
      </c>
      <c r="J60" s="8" t="s">
        <v>228</v>
      </c>
      <c r="K60" s="9" t="s">
        <v>43</v>
      </c>
      <c r="L60" s="9" t="s">
        <v>164</v>
      </c>
      <c r="M60" s="18" t="s">
        <v>241</v>
      </c>
      <c r="N60" t="s">
        <v>197</v>
      </c>
      <c r="O60">
        <v>12</v>
      </c>
      <c r="P60">
        <v>3</v>
      </c>
      <c r="Q60">
        <v>2</v>
      </c>
    </row>
    <row r="61" spans="1:23">
      <c r="A61" s="6" t="s">
        <v>221</v>
      </c>
      <c r="B61" s="7" t="s">
        <v>160</v>
      </c>
      <c r="C61" s="8" t="s">
        <v>229</v>
      </c>
      <c r="D61" s="8" t="s">
        <v>150</v>
      </c>
      <c r="E61" s="8" t="s">
        <v>168</v>
      </c>
      <c r="F61" s="8" t="s">
        <v>150</v>
      </c>
      <c r="G61" s="8" t="s">
        <v>170</v>
      </c>
      <c r="H61" s="8" t="s">
        <v>150</v>
      </c>
      <c r="I61" s="8" t="s">
        <v>248</v>
      </c>
      <c r="J61" s="8" t="s">
        <v>108</v>
      </c>
      <c r="K61" s="9" t="s">
        <v>43</v>
      </c>
      <c r="L61" s="9" t="s">
        <v>173</v>
      </c>
      <c r="O61" t="s">
        <v>237</v>
      </c>
      <c r="P61">
        <f>SUM(P57:P60)</f>
        <v>9</v>
      </c>
      <c r="Q61">
        <f>SUM(Q57:Q60)</f>
        <v>8</v>
      </c>
    </row>
    <row r="62" spans="1:23">
      <c r="A62" s="6" t="s">
        <v>225</v>
      </c>
      <c r="B62" s="7" t="s">
        <v>160</v>
      </c>
      <c r="C62" s="12" t="s">
        <v>150</v>
      </c>
      <c r="D62" s="12" t="s">
        <v>230</v>
      </c>
      <c r="E62" s="12" t="s">
        <v>150</v>
      </c>
      <c r="F62" s="12" t="s">
        <v>148</v>
      </c>
      <c r="G62" s="12" t="s">
        <v>150</v>
      </c>
      <c r="H62" s="12" t="s">
        <v>148</v>
      </c>
      <c r="I62" s="21" t="s">
        <v>247</v>
      </c>
      <c r="J62" s="8" t="s">
        <v>219</v>
      </c>
      <c r="K62" s="9" t="s">
        <v>43</v>
      </c>
      <c r="L62" s="9" t="s">
        <v>226</v>
      </c>
      <c r="O62" t="s">
        <v>238</v>
      </c>
      <c r="P62">
        <f>9/17</f>
        <v>0.52941176470588236</v>
      </c>
      <c r="Q62">
        <f>8/17</f>
        <v>0.47058823529411764</v>
      </c>
    </row>
    <row r="63" spans="1:23">
      <c r="A63" s="6" t="s">
        <v>81</v>
      </c>
      <c r="B63" s="7" t="s">
        <v>160</v>
      </c>
      <c r="C63" s="12" t="s">
        <v>231</v>
      </c>
      <c r="D63" s="12" t="s">
        <v>150</v>
      </c>
      <c r="E63" s="12" t="s">
        <v>168</v>
      </c>
      <c r="F63" s="12" t="s">
        <v>150</v>
      </c>
      <c r="G63" s="12" t="s">
        <v>170</v>
      </c>
      <c r="H63" s="12" t="s">
        <v>150</v>
      </c>
      <c r="I63" s="21" t="s">
        <v>248</v>
      </c>
      <c r="J63" s="12" t="s">
        <v>108</v>
      </c>
      <c r="K63" s="9" t="s">
        <v>43</v>
      </c>
      <c r="L63" s="9" t="s">
        <v>173</v>
      </c>
    </row>
    <row r="64" spans="1:23">
      <c r="A64" s="6" t="s">
        <v>62</v>
      </c>
      <c r="B64" s="7" t="s">
        <v>160</v>
      </c>
      <c r="C64" s="8" t="s">
        <v>232</v>
      </c>
      <c r="D64" s="8" t="s">
        <v>233</v>
      </c>
      <c r="E64" s="8" t="s">
        <v>148</v>
      </c>
      <c r="F64" s="8" t="s">
        <v>148</v>
      </c>
      <c r="G64" s="8" t="s">
        <v>148</v>
      </c>
      <c r="H64" s="8" t="s">
        <v>148</v>
      </c>
      <c r="I64" s="8" t="s">
        <v>247</v>
      </c>
      <c r="J64" s="8" t="s">
        <v>219</v>
      </c>
      <c r="K64" s="9" t="s">
        <v>43</v>
      </c>
      <c r="L64" s="9" t="s">
        <v>226</v>
      </c>
      <c r="N64" t="s">
        <v>198</v>
      </c>
    </row>
    <row r="65" spans="1:21">
      <c r="A65" s="6" t="s">
        <v>234</v>
      </c>
      <c r="B65" s="7" t="s">
        <v>160</v>
      </c>
      <c r="C65" s="12" t="s">
        <v>150</v>
      </c>
      <c r="D65" s="12" t="s">
        <v>150</v>
      </c>
      <c r="E65" s="12" t="s">
        <v>150</v>
      </c>
      <c r="F65" s="12" t="s">
        <v>150</v>
      </c>
      <c r="G65" s="12" t="s">
        <v>150</v>
      </c>
      <c r="H65" s="12" t="s">
        <v>150</v>
      </c>
      <c r="I65" s="21" t="s">
        <v>247</v>
      </c>
      <c r="J65" s="12" t="s">
        <v>219</v>
      </c>
      <c r="K65" s="9" t="s">
        <v>43</v>
      </c>
      <c r="L65" s="9" t="s">
        <v>226</v>
      </c>
      <c r="O65" t="s">
        <v>99</v>
      </c>
      <c r="P65" t="s">
        <v>245</v>
      </c>
      <c r="Q65" t="s">
        <v>236</v>
      </c>
    </row>
    <row r="66" spans="1:21" ht="14" thickBot="1">
      <c r="A66" s="6" t="s">
        <v>63</v>
      </c>
      <c r="B66" s="13" t="s">
        <v>160</v>
      </c>
      <c r="C66" s="14" t="s">
        <v>178</v>
      </c>
      <c r="D66" s="14" t="s">
        <v>179</v>
      </c>
      <c r="E66" s="14" t="s">
        <v>168</v>
      </c>
      <c r="F66" s="14" t="s">
        <v>168</v>
      </c>
      <c r="G66" s="14" t="s">
        <v>170</v>
      </c>
      <c r="H66" s="14" t="s">
        <v>41</v>
      </c>
      <c r="I66" s="14" t="s">
        <v>248</v>
      </c>
      <c r="J66" s="14" t="s">
        <v>180</v>
      </c>
      <c r="K66" s="15" t="s">
        <v>43</v>
      </c>
      <c r="L66" s="15" t="s">
        <v>173</v>
      </c>
      <c r="M66" s="8" t="s">
        <v>240</v>
      </c>
      <c r="N66" t="s">
        <v>196</v>
      </c>
      <c r="O66">
        <v>10</v>
      </c>
      <c r="P66">
        <v>2</v>
      </c>
      <c r="Q66">
        <v>0</v>
      </c>
    </row>
    <row r="67" spans="1:21">
      <c r="A67" s="6" t="s">
        <v>64</v>
      </c>
      <c r="B67" s="7" t="s">
        <v>160</v>
      </c>
      <c r="C67" s="12" t="s">
        <v>88</v>
      </c>
      <c r="D67" s="12" t="s">
        <v>150</v>
      </c>
      <c r="E67" s="12" t="s">
        <v>52</v>
      </c>
      <c r="F67" s="12" t="s">
        <v>150</v>
      </c>
      <c r="G67" s="12" t="s">
        <v>53</v>
      </c>
      <c r="H67" s="12" t="s">
        <v>150</v>
      </c>
      <c r="I67" s="21" t="s">
        <v>247</v>
      </c>
      <c r="J67" s="8" t="s">
        <v>99</v>
      </c>
      <c r="K67" s="9" t="s">
        <v>43</v>
      </c>
      <c r="L67" s="9" t="s">
        <v>173</v>
      </c>
      <c r="M67" s="8" t="s">
        <v>240</v>
      </c>
      <c r="N67" t="s">
        <v>197</v>
      </c>
      <c r="O67">
        <v>4</v>
      </c>
      <c r="P67">
        <v>4</v>
      </c>
      <c r="Q67">
        <v>4</v>
      </c>
    </row>
    <row r="68" spans="1:21">
      <c r="A68" s="6" t="s">
        <v>109</v>
      </c>
      <c r="B68" s="7" t="s">
        <v>160</v>
      </c>
      <c r="C68" s="8" t="s">
        <v>150</v>
      </c>
      <c r="D68" s="8" t="s">
        <v>150</v>
      </c>
      <c r="E68" s="8" t="s">
        <v>150</v>
      </c>
      <c r="F68" s="8" t="s">
        <v>150</v>
      </c>
      <c r="G68" s="8" t="s">
        <v>150</v>
      </c>
      <c r="H68" s="8" t="s">
        <v>150</v>
      </c>
      <c r="I68" s="8" t="s">
        <v>247</v>
      </c>
      <c r="J68" s="8" t="s">
        <v>99</v>
      </c>
      <c r="K68" s="9" t="s">
        <v>43</v>
      </c>
      <c r="L68" s="9" t="s">
        <v>226</v>
      </c>
      <c r="M68" s="18" t="s">
        <v>241</v>
      </c>
      <c r="N68" t="s">
        <v>196</v>
      </c>
      <c r="O68">
        <v>8</v>
      </c>
      <c r="P68">
        <v>6</v>
      </c>
      <c r="Q68">
        <v>0</v>
      </c>
    </row>
    <row r="69" spans="1:21">
      <c r="A69" s="6" t="s">
        <v>110</v>
      </c>
      <c r="B69" s="7" t="s">
        <v>160</v>
      </c>
      <c r="C69" s="8" t="s">
        <v>150</v>
      </c>
      <c r="D69" s="8" t="s">
        <v>150</v>
      </c>
      <c r="E69" s="8" t="s">
        <v>150</v>
      </c>
      <c r="F69" s="8" t="s">
        <v>150</v>
      </c>
      <c r="G69" s="8" t="s">
        <v>150</v>
      </c>
      <c r="H69" s="8" t="s">
        <v>150</v>
      </c>
      <c r="I69" s="8" t="s">
        <v>247</v>
      </c>
      <c r="J69" s="8" t="s">
        <v>99</v>
      </c>
      <c r="K69" s="9" t="s">
        <v>43</v>
      </c>
      <c r="L69" s="9" t="s">
        <v>226</v>
      </c>
      <c r="M69" s="18" t="s">
        <v>241</v>
      </c>
      <c r="N69" t="s">
        <v>197</v>
      </c>
      <c r="O69">
        <v>13</v>
      </c>
      <c r="P69">
        <v>0</v>
      </c>
      <c r="Q69">
        <v>1</v>
      </c>
    </row>
    <row r="70" spans="1:21">
      <c r="A70" s="6" t="s">
        <v>111</v>
      </c>
      <c r="B70" s="7" t="s">
        <v>160</v>
      </c>
      <c r="C70" s="8" t="s">
        <v>182</v>
      </c>
      <c r="D70" s="8" t="s">
        <v>150</v>
      </c>
      <c r="E70" s="8" t="s">
        <v>168</v>
      </c>
      <c r="F70" s="8" t="s">
        <v>150</v>
      </c>
      <c r="G70" s="8" t="s">
        <v>170</v>
      </c>
      <c r="H70" s="8" t="s">
        <v>150</v>
      </c>
      <c r="I70" s="8" t="s">
        <v>248</v>
      </c>
      <c r="J70" s="8" t="s">
        <v>108</v>
      </c>
      <c r="K70" s="9" t="s">
        <v>43</v>
      </c>
      <c r="L70" s="9" t="s">
        <v>173</v>
      </c>
      <c r="O70" t="s">
        <v>237</v>
      </c>
      <c r="P70">
        <f>SUM(P66:P69)</f>
        <v>12</v>
      </c>
      <c r="Q70">
        <f>SUM(Q66:Q69)</f>
        <v>5</v>
      </c>
    </row>
    <row r="71" spans="1:21">
      <c r="A71" s="6" t="s">
        <v>114</v>
      </c>
      <c r="B71" s="7" t="s">
        <v>160</v>
      </c>
      <c r="C71" s="12" t="s">
        <v>183</v>
      </c>
      <c r="D71" s="12" t="s">
        <v>150</v>
      </c>
      <c r="E71" s="12" t="s">
        <v>168</v>
      </c>
      <c r="F71" s="12" t="s">
        <v>150</v>
      </c>
      <c r="G71" s="12" t="s">
        <v>170</v>
      </c>
      <c r="H71" s="12" t="s">
        <v>150</v>
      </c>
      <c r="I71" s="21" t="s">
        <v>248</v>
      </c>
      <c r="J71" s="12" t="s">
        <v>108</v>
      </c>
      <c r="K71" s="9" t="s">
        <v>43</v>
      </c>
      <c r="L71" s="9" t="s">
        <v>173</v>
      </c>
      <c r="O71" t="s">
        <v>238</v>
      </c>
      <c r="P71">
        <f>12/17</f>
        <v>0.70588235294117652</v>
      </c>
      <c r="Q71">
        <f>5/17</f>
        <v>0.29411764705882354</v>
      </c>
    </row>
    <row r="72" spans="1:21">
      <c r="A72" s="6" t="s">
        <v>87</v>
      </c>
      <c r="B72" s="7" t="s">
        <v>158</v>
      </c>
      <c r="C72" s="8" t="s">
        <v>150</v>
      </c>
      <c r="D72" s="8" t="s">
        <v>184</v>
      </c>
      <c r="E72" s="8" t="s">
        <v>150</v>
      </c>
      <c r="F72" s="8" t="s">
        <v>40</v>
      </c>
      <c r="G72" s="8" t="s">
        <v>150</v>
      </c>
      <c r="H72" s="8" t="s">
        <v>170</v>
      </c>
      <c r="I72" s="8" t="s">
        <v>248</v>
      </c>
      <c r="J72" s="8" t="s">
        <v>125</v>
      </c>
      <c r="K72" s="9" t="s">
        <v>118</v>
      </c>
      <c r="L72" s="9" t="s">
        <v>164</v>
      </c>
    </row>
    <row r="73" spans="1:21">
      <c r="A73" s="6" t="s">
        <v>185</v>
      </c>
      <c r="B73" s="7" t="s">
        <v>160</v>
      </c>
      <c r="C73" s="12" t="s">
        <v>150</v>
      </c>
      <c r="D73" s="12" t="s">
        <v>186</v>
      </c>
      <c r="E73" s="12" t="s">
        <v>150</v>
      </c>
      <c r="F73" s="12" t="s">
        <v>168</v>
      </c>
      <c r="G73" s="12" t="s">
        <v>150</v>
      </c>
      <c r="H73" s="12" t="s">
        <v>41</v>
      </c>
      <c r="I73" s="21" t="s">
        <v>248</v>
      </c>
      <c r="J73" s="12" t="s">
        <v>113</v>
      </c>
      <c r="K73" s="9" t="s">
        <v>118</v>
      </c>
      <c r="L73" s="9" t="s">
        <v>173</v>
      </c>
      <c r="N73" t="s">
        <v>199</v>
      </c>
    </row>
    <row r="74" spans="1:21">
      <c r="A74" s="6" t="s">
        <v>116</v>
      </c>
      <c r="B74" s="7" t="s">
        <v>160</v>
      </c>
      <c r="C74" s="12" t="s">
        <v>150</v>
      </c>
      <c r="D74" s="11" t="s">
        <v>150</v>
      </c>
      <c r="E74" s="12" t="s">
        <v>150</v>
      </c>
      <c r="F74" s="11" t="s">
        <v>150</v>
      </c>
      <c r="G74" s="12" t="s">
        <v>150</v>
      </c>
      <c r="H74" s="11" t="s">
        <v>150</v>
      </c>
      <c r="I74" s="18" t="s">
        <v>247</v>
      </c>
      <c r="J74" s="12" t="s">
        <v>99</v>
      </c>
      <c r="K74" s="9" t="s">
        <v>118</v>
      </c>
      <c r="L74" s="9" t="s">
        <v>226</v>
      </c>
      <c r="O74" t="s">
        <v>99</v>
      </c>
      <c r="P74" t="s">
        <v>245</v>
      </c>
      <c r="Q74" t="s">
        <v>236</v>
      </c>
    </row>
    <row r="75" spans="1:21">
      <c r="A75" s="6" t="s">
        <v>206</v>
      </c>
      <c r="B75" s="7" t="s">
        <v>160</v>
      </c>
      <c r="C75" s="12" t="s">
        <v>150</v>
      </c>
      <c r="D75" s="12" t="s">
        <v>150</v>
      </c>
      <c r="E75" s="12" t="s">
        <v>150</v>
      </c>
      <c r="F75" s="12" t="s">
        <v>150</v>
      </c>
      <c r="G75" s="12" t="s">
        <v>150</v>
      </c>
      <c r="H75" s="12" t="s">
        <v>150</v>
      </c>
      <c r="I75" s="21" t="s">
        <v>247</v>
      </c>
      <c r="J75" s="12" t="s">
        <v>219</v>
      </c>
      <c r="K75" s="9" t="s">
        <v>118</v>
      </c>
      <c r="L75" s="9" t="s">
        <v>226</v>
      </c>
      <c r="M75" s="8" t="s">
        <v>240</v>
      </c>
      <c r="N75" t="s">
        <v>196</v>
      </c>
      <c r="O75">
        <v>10</v>
      </c>
      <c r="P75">
        <v>1</v>
      </c>
      <c r="Q75">
        <v>1</v>
      </c>
    </row>
    <row r="76" spans="1:21">
      <c r="A76" s="6" t="s">
        <v>123</v>
      </c>
      <c r="B76" s="7" t="s">
        <v>160</v>
      </c>
      <c r="C76" s="11" t="s">
        <v>150</v>
      </c>
      <c r="D76" s="11" t="s">
        <v>150</v>
      </c>
      <c r="E76" s="11" t="s">
        <v>150</v>
      </c>
      <c r="F76" s="11" t="s">
        <v>150</v>
      </c>
      <c r="G76" s="11" t="s">
        <v>150</v>
      </c>
      <c r="H76" s="11" t="s">
        <v>150</v>
      </c>
      <c r="I76" s="18" t="s">
        <v>247</v>
      </c>
      <c r="J76" s="11" t="s">
        <v>219</v>
      </c>
      <c r="K76" s="9" t="s">
        <v>118</v>
      </c>
      <c r="L76" s="9" t="s">
        <v>226</v>
      </c>
      <c r="M76" s="8" t="s">
        <v>240</v>
      </c>
      <c r="N76" t="s">
        <v>197</v>
      </c>
      <c r="O76">
        <v>7</v>
      </c>
      <c r="P76">
        <v>2</v>
      </c>
      <c r="Q76">
        <v>3</v>
      </c>
    </row>
    <row r="77" spans="1:21">
      <c r="A77" s="6" t="s">
        <v>126</v>
      </c>
      <c r="B77" s="7" t="s">
        <v>160</v>
      </c>
      <c r="C77" s="8" t="s">
        <v>187</v>
      </c>
      <c r="D77" s="8" t="s">
        <v>150</v>
      </c>
      <c r="E77" s="8" t="s">
        <v>58</v>
      </c>
      <c r="F77" s="8" t="s">
        <v>150</v>
      </c>
      <c r="G77" s="8" t="s">
        <v>59</v>
      </c>
      <c r="H77" s="8" t="s">
        <v>150</v>
      </c>
      <c r="I77" s="8" t="s">
        <v>247</v>
      </c>
      <c r="J77" s="11" t="s">
        <v>219</v>
      </c>
      <c r="K77" s="9" t="s">
        <v>118</v>
      </c>
      <c r="L77" s="9" t="s">
        <v>164</v>
      </c>
      <c r="M77" s="18" t="s">
        <v>241</v>
      </c>
      <c r="N77" t="s">
        <v>196</v>
      </c>
      <c r="O77">
        <v>9</v>
      </c>
      <c r="P77">
        <v>9</v>
      </c>
      <c r="Q77">
        <v>1</v>
      </c>
      <c r="U77">
        <f>19/57</f>
        <v>0.33333333333333331</v>
      </c>
    </row>
    <row r="78" spans="1:21">
      <c r="A78" s="6" t="s">
        <v>128</v>
      </c>
      <c r="B78" s="7" t="s">
        <v>160</v>
      </c>
      <c r="C78" s="12" t="s">
        <v>188</v>
      </c>
      <c r="D78" s="8" t="s">
        <v>189</v>
      </c>
      <c r="E78" s="12" t="s">
        <v>168</v>
      </c>
      <c r="F78" s="8" t="s">
        <v>40</v>
      </c>
      <c r="G78" s="12" t="s">
        <v>170</v>
      </c>
      <c r="H78" s="8" t="s">
        <v>170</v>
      </c>
      <c r="I78" s="8" t="s">
        <v>248</v>
      </c>
      <c r="J78" s="10" t="s">
        <v>131</v>
      </c>
      <c r="K78" s="9" t="s">
        <v>118</v>
      </c>
      <c r="L78" s="9" t="s">
        <v>164</v>
      </c>
      <c r="M78" s="18" t="s">
        <v>241</v>
      </c>
      <c r="N78" t="s">
        <v>197</v>
      </c>
      <c r="O78">
        <v>17</v>
      </c>
      <c r="P78">
        <v>2</v>
      </c>
      <c r="Q78">
        <v>0</v>
      </c>
    </row>
    <row r="79" spans="1:21">
      <c r="A79" s="6" t="s">
        <v>91</v>
      </c>
      <c r="B79" s="7" t="s">
        <v>160</v>
      </c>
      <c r="C79" s="8" t="s">
        <v>150</v>
      </c>
      <c r="D79" s="8" t="s">
        <v>190</v>
      </c>
      <c r="E79" s="8" t="s">
        <v>150</v>
      </c>
      <c r="F79" s="8" t="s">
        <v>40</v>
      </c>
      <c r="G79" s="8" t="s">
        <v>150</v>
      </c>
      <c r="H79" s="8" t="s">
        <v>170</v>
      </c>
      <c r="I79" s="8" t="s">
        <v>248</v>
      </c>
      <c r="J79" s="8" t="s">
        <v>125</v>
      </c>
      <c r="K79" s="9" t="s">
        <v>118</v>
      </c>
      <c r="L79" s="9" t="s">
        <v>164</v>
      </c>
      <c r="O79" t="s">
        <v>237</v>
      </c>
      <c r="P79">
        <f>SUM(P75:P78)</f>
        <v>14</v>
      </c>
      <c r="Q79">
        <f>SUM(Q75:Q78)</f>
        <v>5</v>
      </c>
    </row>
    <row r="80" spans="1:21">
      <c r="A80" s="6" t="s">
        <v>93</v>
      </c>
      <c r="B80" s="7" t="s">
        <v>160</v>
      </c>
      <c r="C80" s="8" t="s">
        <v>75</v>
      </c>
      <c r="D80" s="8" t="s">
        <v>73</v>
      </c>
      <c r="E80" s="8" t="s">
        <v>76</v>
      </c>
      <c r="F80" s="8" t="s">
        <v>74</v>
      </c>
      <c r="G80" s="8" t="s">
        <v>77</v>
      </c>
      <c r="H80" s="8" t="s">
        <v>78</v>
      </c>
      <c r="I80" s="8" t="s">
        <v>248</v>
      </c>
      <c r="J80" s="8" t="s">
        <v>79</v>
      </c>
      <c r="K80" s="9" t="s">
        <v>118</v>
      </c>
      <c r="L80" s="9" t="s">
        <v>172</v>
      </c>
      <c r="O80" t="s">
        <v>238</v>
      </c>
      <c r="P80">
        <f>14/19</f>
        <v>0.73684210526315785</v>
      </c>
      <c r="Q80">
        <f>5/19</f>
        <v>0.26315789473684209</v>
      </c>
    </row>
    <row r="81" spans="1:22">
      <c r="A81" s="6" t="s">
        <v>153</v>
      </c>
      <c r="B81" s="7" t="s">
        <v>160</v>
      </c>
      <c r="C81" s="12" t="s">
        <v>191</v>
      </c>
      <c r="D81" s="11" t="s">
        <v>150</v>
      </c>
      <c r="E81" s="12" t="s">
        <v>40</v>
      </c>
      <c r="F81" s="11" t="s">
        <v>150</v>
      </c>
      <c r="G81" s="12" t="s">
        <v>41</v>
      </c>
      <c r="H81" s="11" t="s">
        <v>150</v>
      </c>
      <c r="I81" s="18" t="s">
        <v>248</v>
      </c>
      <c r="J81" s="12" t="s">
        <v>192</v>
      </c>
      <c r="K81" s="9" t="s">
        <v>118</v>
      </c>
      <c r="L81" s="9" t="s">
        <v>164</v>
      </c>
    </row>
    <row r="82" spans="1:22">
      <c r="A82" s="6" t="s">
        <v>155</v>
      </c>
      <c r="B82" s="7" t="s">
        <v>160</v>
      </c>
      <c r="C82" s="8" t="s">
        <v>150</v>
      </c>
      <c r="D82" s="8" t="s">
        <v>150</v>
      </c>
      <c r="E82" s="8" t="s">
        <v>150</v>
      </c>
      <c r="F82" s="8" t="s">
        <v>150</v>
      </c>
      <c r="G82" s="8" t="s">
        <v>150</v>
      </c>
      <c r="H82" s="8" t="s">
        <v>150</v>
      </c>
      <c r="I82" s="8" t="s">
        <v>247</v>
      </c>
      <c r="J82" s="8" t="s">
        <v>219</v>
      </c>
      <c r="K82" s="9" t="s">
        <v>118</v>
      </c>
      <c r="L82" s="9" t="s">
        <v>226</v>
      </c>
      <c r="N82" t="s">
        <v>239</v>
      </c>
    </row>
    <row r="83" spans="1:22">
      <c r="A83" s="6" t="s">
        <v>94</v>
      </c>
      <c r="B83" s="7" t="s">
        <v>160</v>
      </c>
      <c r="C83" s="8" t="s">
        <v>150</v>
      </c>
      <c r="D83" s="8" t="s">
        <v>150</v>
      </c>
      <c r="E83" s="8" t="s">
        <v>150</v>
      </c>
      <c r="F83" s="8" t="s">
        <v>150</v>
      </c>
      <c r="G83" s="8" t="s">
        <v>150</v>
      </c>
      <c r="H83" s="8" t="s">
        <v>150</v>
      </c>
      <c r="I83" s="8" t="s">
        <v>247</v>
      </c>
      <c r="J83" s="8" t="s">
        <v>99</v>
      </c>
      <c r="K83" s="9" t="s">
        <v>118</v>
      </c>
      <c r="L83" s="9" t="s">
        <v>226</v>
      </c>
      <c r="O83" t="s">
        <v>99</v>
      </c>
      <c r="P83" t="s">
        <v>245</v>
      </c>
      <c r="Q83" t="s">
        <v>236</v>
      </c>
    </row>
    <row r="84" spans="1:22">
      <c r="M84" s="8" t="s">
        <v>240</v>
      </c>
      <c r="N84" t="s">
        <v>196</v>
      </c>
      <c r="O84">
        <f>SUM(O75,O66,O57)</f>
        <v>27</v>
      </c>
      <c r="P84">
        <f t="shared" ref="P84:Q84" si="0">SUM(P75,P66,P57)</f>
        <v>4</v>
      </c>
      <c r="Q84">
        <f t="shared" si="0"/>
        <v>1</v>
      </c>
    </row>
    <row r="85" spans="1:22">
      <c r="M85" s="8" t="s">
        <v>240</v>
      </c>
      <c r="N85" t="s">
        <v>197</v>
      </c>
      <c r="O85">
        <f t="shared" ref="O85:Q85" si="1">SUM(O76,O67,O58)</f>
        <v>14</v>
      </c>
      <c r="P85">
        <f t="shared" si="1"/>
        <v>7</v>
      </c>
      <c r="Q85">
        <f t="shared" si="1"/>
        <v>11</v>
      </c>
      <c r="V85">
        <f>53/8</f>
        <v>6.625</v>
      </c>
    </row>
    <row r="86" spans="1:22">
      <c r="M86" s="18" t="s">
        <v>241</v>
      </c>
      <c r="N86" t="s">
        <v>196</v>
      </c>
      <c r="O86">
        <f t="shared" ref="O86:Q86" si="2">SUM(O77,O68,O59)</f>
        <v>28</v>
      </c>
      <c r="P86">
        <f t="shared" si="2"/>
        <v>19</v>
      </c>
      <c r="Q86">
        <f t="shared" si="2"/>
        <v>3</v>
      </c>
    </row>
    <row r="87" spans="1:22">
      <c r="M87" s="18" t="s">
        <v>241</v>
      </c>
      <c r="N87" t="s">
        <v>197</v>
      </c>
      <c r="O87">
        <f t="shared" ref="O87:Q87" si="3">SUM(O78,O69,O60)</f>
        <v>42</v>
      </c>
      <c r="P87">
        <f t="shared" si="3"/>
        <v>5</v>
      </c>
      <c r="Q87">
        <f t="shared" si="3"/>
        <v>3</v>
      </c>
    </row>
    <row r="88" spans="1:22">
      <c r="O88" t="s">
        <v>237</v>
      </c>
      <c r="P88">
        <f>SUM(P84:P87)</f>
        <v>35</v>
      </c>
      <c r="Q88">
        <f>SUM(Q84:Q87)</f>
        <v>18</v>
      </c>
    </row>
    <row r="89" spans="1:22">
      <c r="O89" t="s">
        <v>238</v>
      </c>
      <c r="P89">
        <f>35/53</f>
        <v>0.660377358490566</v>
      </c>
      <c r="Q89">
        <f>18/53</f>
        <v>0.33962264150943394</v>
      </c>
      <c r="T89">
        <f>30/53</f>
        <v>0.56603773584905659</v>
      </c>
    </row>
    <row r="98" spans="14:16">
      <c r="N98" t="s">
        <v>193</v>
      </c>
    </row>
    <row r="99" spans="14:16">
      <c r="O99" t="s">
        <v>245</v>
      </c>
      <c r="P99" t="s">
        <v>236</v>
      </c>
    </row>
    <row r="100" spans="14:16">
      <c r="N100" t="s">
        <v>257</v>
      </c>
      <c r="O100">
        <f>2/6</f>
        <v>0.33333333333333331</v>
      </c>
      <c r="P100">
        <f>4/6</f>
        <v>0.66666666666666663</v>
      </c>
    </row>
    <row r="101" spans="14:16">
      <c r="N101" t="s">
        <v>258</v>
      </c>
      <c r="O101">
        <f>7/11</f>
        <v>0.63636363636363635</v>
      </c>
      <c r="P101">
        <f>4/11</f>
        <v>0.36363636363636365</v>
      </c>
    </row>
    <row r="102" spans="14:16">
      <c r="N102" t="s">
        <v>259</v>
      </c>
      <c r="O102">
        <f>6/10</f>
        <v>0.6</v>
      </c>
      <c r="P102">
        <v>0.4</v>
      </c>
    </row>
    <row r="103" spans="14:16">
      <c r="N103" t="s">
        <v>260</v>
      </c>
      <c r="O103">
        <f>6/7</f>
        <v>0.8571428571428571</v>
      </c>
      <c r="P103">
        <f>1/7</f>
        <v>0.14285714285714285</v>
      </c>
    </row>
    <row r="104" spans="14:16">
      <c r="N104" t="s">
        <v>261</v>
      </c>
      <c r="O104">
        <f>3/7</f>
        <v>0.42857142857142855</v>
      </c>
      <c r="P104">
        <f>4/7</f>
        <v>0.5714285714285714</v>
      </c>
    </row>
    <row r="105" spans="14:16">
      <c r="N105" t="s">
        <v>262</v>
      </c>
      <c r="O105">
        <f>11/12</f>
        <v>0.91666666666666663</v>
      </c>
      <c r="P105">
        <f>1/12</f>
        <v>8.3333333333333329E-2</v>
      </c>
    </row>
    <row r="106" spans="14:16">
      <c r="N106" t="s">
        <v>263</v>
      </c>
      <c r="O106">
        <f>11/23</f>
        <v>0.47826086956521741</v>
      </c>
      <c r="P106">
        <f>12/23</f>
        <v>0.52173913043478259</v>
      </c>
    </row>
    <row r="107" spans="14:16">
      <c r="N107" t="s">
        <v>264</v>
      </c>
      <c r="O107">
        <f>24/30</f>
        <v>0.8</v>
      </c>
      <c r="P107">
        <f>6/30</f>
        <v>0.2</v>
      </c>
    </row>
    <row r="115" spans="13:16">
      <c r="M115" t="s">
        <v>240</v>
      </c>
    </row>
    <row r="116" spans="13:16">
      <c r="M116" t="s">
        <v>240</v>
      </c>
    </row>
    <row r="117" spans="13:16">
      <c r="M117" t="s">
        <v>241</v>
      </c>
      <c r="O117" t="s">
        <v>245</v>
      </c>
      <c r="P117" t="s">
        <v>236</v>
      </c>
    </row>
    <row r="118" spans="13:16">
      <c r="M118" t="s">
        <v>241</v>
      </c>
      <c r="N118" t="s">
        <v>196</v>
      </c>
      <c r="O118">
        <v>4</v>
      </c>
      <c r="P118">
        <v>1</v>
      </c>
    </row>
    <row r="119" spans="13:16">
      <c r="N119" t="s">
        <v>197</v>
      </c>
      <c r="O119">
        <v>7</v>
      </c>
      <c r="P119">
        <v>11</v>
      </c>
    </row>
    <row r="120" spans="13:16">
      <c r="N120" t="s">
        <v>196</v>
      </c>
      <c r="O120">
        <v>19</v>
      </c>
      <c r="P120">
        <v>3</v>
      </c>
    </row>
    <row r="121" spans="13:16">
      <c r="N121" t="s">
        <v>197</v>
      </c>
      <c r="O121">
        <v>5</v>
      </c>
      <c r="P121">
        <v>3</v>
      </c>
    </row>
    <row r="122" spans="13:16">
      <c r="O122">
        <v>35</v>
      </c>
      <c r="P122">
        <v>18</v>
      </c>
    </row>
    <row r="123" spans="13:16">
      <c r="O123">
        <v>0.660377358490566</v>
      </c>
      <c r="P123">
        <v>0.33962264150943394</v>
      </c>
    </row>
  </sheetData>
  <phoneticPr fontId="6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E33" sqref="E33"/>
    </sheetView>
  </sheetViews>
  <sheetFormatPr baseColWidth="10" defaultRowHeight="13" x14ac:dyDescent="0"/>
  <sheetData>
    <row r="1" spans="1:7">
      <c r="A1" t="s">
        <v>45</v>
      </c>
      <c r="E1" t="s">
        <v>244</v>
      </c>
    </row>
    <row r="3" spans="1:7">
      <c r="A3" s="20" t="s">
        <v>46</v>
      </c>
      <c r="E3" s="20" t="s">
        <v>46</v>
      </c>
    </row>
    <row r="4" spans="1:7">
      <c r="A4" t="s">
        <v>47</v>
      </c>
      <c r="B4" t="s">
        <v>48</v>
      </c>
      <c r="C4" t="s">
        <v>49</v>
      </c>
      <c r="E4" t="s">
        <v>47</v>
      </c>
      <c r="F4" t="s">
        <v>48</v>
      </c>
      <c r="G4" t="s">
        <v>49</v>
      </c>
    </row>
    <row r="5" spans="1:7">
      <c r="A5" t="s">
        <v>90</v>
      </c>
      <c r="B5" s="17">
        <v>8.9960000000000004</v>
      </c>
      <c r="C5" s="17">
        <v>2.8E-3</v>
      </c>
      <c r="E5" t="s">
        <v>90</v>
      </c>
      <c r="F5" s="17">
        <v>5.4530000000000003</v>
      </c>
      <c r="G5" s="17">
        <v>1.95E-2</v>
      </c>
    </row>
    <row r="6" spans="1:7">
      <c r="A6" t="s">
        <v>50</v>
      </c>
      <c r="B6">
        <v>0.53</v>
      </c>
      <c r="C6">
        <v>0.47</v>
      </c>
      <c r="E6" t="s">
        <v>50</v>
      </c>
      <c r="F6">
        <v>5.8999999999999997E-2</v>
      </c>
      <c r="G6">
        <v>0.80840000000000001</v>
      </c>
    </row>
    <row r="7" spans="1:7">
      <c r="A7" t="s">
        <v>51</v>
      </c>
      <c r="B7">
        <v>2.33</v>
      </c>
      <c r="C7">
        <v>0.13</v>
      </c>
      <c r="E7" t="s">
        <v>51</v>
      </c>
      <c r="F7" s="17">
        <v>4.2629999999999999</v>
      </c>
      <c r="G7" s="17">
        <v>3.8899999999999997E-2</v>
      </c>
    </row>
    <row r="8" spans="1:7">
      <c r="A8" t="s">
        <v>200</v>
      </c>
      <c r="B8" s="17">
        <v>8.0500000000000007</v>
      </c>
      <c r="C8" s="16">
        <v>4.5999999999999999E-3</v>
      </c>
      <c r="E8" t="s">
        <v>200</v>
      </c>
      <c r="F8" s="19">
        <v>2.8820000000000001</v>
      </c>
      <c r="G8" s="19">
        <v>8.9599999999999999E-2</v>
      </c>
    </row>
    <row r="10" spans="1:7">
      <c r="A10" s="20" t="s">
        <v>242</v>
      </c>
      <c r="E10" s="20" t="s">
        <v>242</v>
      </c>
    </row>
    <row r="11" spans="1:7">
      <c r="A11" t="s">
        <v>47</v>
      </c>
      <c r="B11" t="s">
        <v>48</v>
      </c>
      <c r="C11" t="s">
        <v>49</v>
      </c>
      <c r="E11" t="s">
        <v>47</v>
      </c>
      <c r="F11" t="s">
        <v>48</v>
      </c>
      <c r="G11" t="s">
        <v>49</v>
      </c>
    </row>
    <row r="12" spans="1:7">
      <c r="A12" t="s">
        <v>90</v>
      </c>
      <c r="B12">
        <v>0.57099999999999995</v>
      </c>
      <c r="C12">
        <v>0.44969999999999999</v>
      </c>
      <c r="E12" t="s">
        <v>90</v>
      </c>
      <c r="F12">
        <v>4.2999999999999997E-2</v>
      </c>
      <c r="G12">
        <v>0.83479999999999999</v>
      </c>
    </row>
    <row r="13" spans="1:7">
      <c r="A13" t="s">
        <v>201</v>
      </c>
      <c r="B13">
        <v>0.67</v>
      </c>
      <c r="C13">
        <v>0.41</v>
      </c>
      <c r="E13" t="s">
        <v>50</v>
      </c>
      <c r="F13">
        <v>0.66700000000000004</v>
      </c>
      <c r="G13">
        <v>0.41420000000000001</v>
      </c>
    </row>
    <row r="14" spans="1:7">
      <c r="A14" t="s">
        <v>202</v>
      </c>
      <c r="B14">
        <v>0</v>
      </c>
      <c r="C14">
        <v>1</v>
      </c>
      <c r="E14" t="s">
        <v>51</v>
      </c>
      <c r="F14">
        <v>0.14299999999999999</v>
      </c>
      <c r="G14">
        <v>0.70550000000000002</v>
      </c>
    </row>
    <row r="15" spans="1:7">
      <c r="A15" t="s">
        <v>200</v>
      </c>
      <c r="B15">
        <v>1.33</v>
      </c>
      <c r="C15">
        <v>0.25</v>
      </c>
      <c r="E15" t="s">
        <v>200</v>
      </c>
      <c r="F15">
        <v>0.4</v>
      </c>
      <c r="G15">
        <v>0.52710000000000001</v>
      </c>
    </row>
    <row r="17" spans="1:7">
      <c r="A17" s="20" t="s">
        <v>243</v>
      </c>
      <c r="E17" s="20" t="s">
        <v>243</v>
      </c>
    </row>
    <row r="18" spans="1:7">
      <c r="A18" t="s">
        <v>47</v>
      </c>
      <c r="B18" t="s">
        <v>48</v>
      </c>
      <c r="C18" t="s">
        <v>49</v>
      </c>
      <c r="E18" t="s">
        <v>47</v>
      </c>
      <c r="F18" t="s">
        <v>48</v>
      </c>
      <c r="G18" t="s">
        <v>49</v>
      </c>
    </row>
    <row r="19" spans="1:7">
      <c r="A19" t="s">
        <v>90</v>
      </c>
      <c r="B19" s="17">
        <v>8.7579999999999991</v>
      </c>
      <c r="C19" s="17">
        <v>3.0999999999999999E-3</v>
      </c>
      <c r="E19" t="s">
        <v>90</v>
      </c>
      <c r="F19" s="17">
        <v>10.8</v>
      </c>
      <c r="G19" s="17">
        <v>1E-3</v>
      </c>
    </row>
    <row r="20" spans="1:7">
      <c r="A20" t="s">
        <v>201</v>
      </c>
      <c r="B20">
        <v>0.09</v>
      </c>
      <c r="C20">
        <v>0.76</v>
      </c>
      <c r="E20" t="s">
        <v>50</v>
      </c>
      <c r="F20">
        <v>0.81799999999999995</v>
      </c>
      <c r="G20">
        <v>0.36570000000000003</v>
      </c>
    </row>
    <row r="21" spans="1:7">
      <c r="A21" t="s">
        <v>202</v>
      </c>
      <c r="B21" s="17">
        <v>3.77</v>
      </c>
      <c r="C21" s="16">
        <v>5.1999999999999998E-2</v>
      </c>
      <c r="E21" t="s">
        <v>51</v>
      </c>
      <c r="F21" s="17">
        <v>8.3330000000000002</v>
      </c>
      <c r="G21" s="16">
        <v>3.8999999999999998E-3</v>
      </c>
    </row>
    <row r="22" spans="1:7">
      <c r="A22" t="s">
        <v>200</v>
      </c>
      <c r="B22" s="17">
        <v>9</v>
      </c>
      <c r="C22" s="16">
        <v>3.0000000000000001E-3</v>
      </c>
      <c r="E22" t="s">
        <v>200</v>
      </c>
      <c r="F22" s="19">
        <v>3.5710000000000002</v>
      </c>
      <c r="G22" s="19">
        <v>5.8799999999999998E-2</v>
      </c>
    </row>
  </sheetData>
  <phoneticPr fontId="6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opLeftCell="A2" workbookViewId="0">
      <selection activeCell="G14" sqref="G14"/>
    </sheetView>
  </sheetViews>
  <sheetFormatPr baseColWidth="10" defaultColWidth="10.7109375" defaultRowHeight="13" x14ac:dyDescent="0"/>
  <sheetData>
    <row r="1" spans="1:7">
      <c r="B1" t="s">
        <v>193</v>
      </c>
    </row>
    <row r="2" spans="1:7">
      <c r="C2" t="s">
        <v>99</v>
      </c>
      <c r="D2" t="s">
        <v>194</v>
      </c>
      <c r="E2" t="s">
        <v>195</v>
      </c>
    </row>
    <row r="3" spans="1:7">
      <c r="A3" t="s">
        <v>60</v>
      </c>
      <c r="B3" t="s">
        <v>197</v>
      </c>
      <c r="C3">
        <v>3</v>
      </c>
      <c r="D3">
        <v>4</v>
      </c>
      <c r="E3">
        <v>1</v>
      </c>
      <c r="F3">
        <f>4/5</f>
        <v>0.8</v>
      </c>
      <c r="G3">
        <f>1/5</f>
        <v>0.2</v>
      </c>
    </row>
    <row r="4" spans="1:7">
      <c r="A4" t="s">
        <v>61</v>
      </c>
      <c r="B4" t="s">
        <v>196</v>
      </c>
      <c r="C4">
        <v>11</v>
      </c>
      <c r="D4">
        <v>4</v>
      </c>
      <c r="E4">
        <v>2</v>
      </c>
      <c r="F4">
        <f>4/6</f>
        <v>0.66666666666666663</v>
      </c>
      <c r="G4">
        <f>2/6</f>
        <v>0.33333333333333331</v>
      </c>
    </row>
    <row r="5" spans="1:7" ht="14" customHeight="1"/>
    <row r="6" spans="1:7">
      <c r="B6" t="s">
        <v>198</v>
      </c>
    </row>
    <row r="7" spans="1:7">
      <c r="C7" t="s">
        <v>99</v>
      </c>
      <c r="D7" t="s">
        <v>194</v>
      </c>
      <c r="E7" t="s">
        <v>195</v>
      </c>
    </row>
    <row r="8" spans="1:7">
      <c r="A8" t="s">
        <v>60</v>
      </c>
      <c r="B8" t="s">
        <v>197</v>
      </c>
      <c r="C8">
        <v>4</v>
      </c>
      <c r="D8">
        <v>4</v>
      </c>
      <c r="E8">
        <v>4</v>
      </c>
      <c r="F8">
        <f>4/8</f>
        <v>0.5</v>
      </c>
      <c r="G8">
        <f>4/8</f>
        <v>0.5</v>
      </c>
    </row>
    <row r="9" spans="1:7">
      <c r="A9" t="s">
        <v>61</v>
      </c>
      <c r="B9" t="s">
        <v>196</v>
      </c>
      <c r="C9">
        <v>8</v>
      </c>
      <c r="D9">
        <v>6</v>
      </c>
      <c r="E9">
        <v>0</v>
      </c>
      <c r="F9">
        <v>1</v>
      </c>
      <c r="G9">
        <v>0</v>
      </c>
    </row>
    <row r="11" spans="1:7">
      <c r="B11" t="s">
        <v>199</v>
      </c>
    </row>
    <row r="12" spans="1:7">
      <c r="C12" t="s">
        <v>99</v>
      </c>
      <c r="D12" t="s">
        <v>194</v>
      </c>
      <c r="E12" t="s">
        <v>195</v>
      </c>
    </row>
    <row r="13" spans="1:7">
      <c r="A13" t="s">
        <v>60</v>
      </c>
      <c r="B13" t="s">
        <v>197</v>
      </c>
      <c r="C13">
        <v>7</v>
      </c>
      <c r="D13">
        <v>3</v>
      </c>
      <c r="E13">
        <v>2</v>
      </c>
      <c r="F13">
        <f>3/5</f>
        <v>0.6</v>
      </c>
      <c r="G13">
        <f>2/5</f>
        <v>0.4</v>
      </c>
    </row>
    <row r="14" spans="1:7">
      <c r="A14" t="s">
        <v>61</v>
      </c>
      <c r="B14" t="s">
        <v>196</v>
      </c>
      <c r="C14">
        <v>9</v>
      </c>
      <c r="D14">
        <v>9</v>
      </c>
      <c r="E14">
        <v>1</v>
      </c>
      <c r="F14">
        <f>9/10</f>
        <v>0.9</v>
      </c>
      <c r="G14">
        <f>1/10</f>
        <v>0.1</v>
      </c>
    </row>
  </sheetData>
  <phoneticPr fontId="6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7</vt:i4>
      </vt:variant>
    </vt:vector>
  </HeadingPairs>
  <TitlesOfParts>
    <vt:vector size="10" baseType="lpstr">
      <vt:lpstr>Shifts Stats</vt:lpstr>
      <vt:lpstr>Chi-sqaured</vt:lpstr>
      <vt:lpstr>Sheet2</vt:lpstr>
      <vt:lpstr>Lassen</vt:lpstr>
      <vt:lpstr>Lassen Shifts</vt:lpstr>
      <vt:lpstr>YoseShifts</vt:lpstr>
      <vt:lpstr>SEKIShifts</vt:lpstr>
      <vt:lpstr>ShifttLH</vt:lpstr>
      <vt:lpstr>UP-DOWN</vt:lpstr>
      <vt:lpstr>LEAD-LAG</vt:lpstr>
    </vt:vector>
  </TitlesOfParts>
  <Company>_x0016_University of Illinois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Rowe</dc:creator>
  <cp:lastModifiedBy>MV Sciences</cp:lastModifiedBy>
  <dcterms:created xsi:type="dcterms:W3CDTF">2011-05-18T06:46:20Z</dcterms:created>
  <dcterms:modified xsi:type="dcterms:W3CDTF">2011-10-06T05:54:30Z</dcterms:modified>
</cp:coreProperties>
</file>