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zomu/Documents/yakisaba/修論/本文0117/figure/"/>
    </mc:Choice>
  </mc:AlternateContent>
  <xr:revisionPtr revIDLastSave="0" documentId="13_ncr:1_{BCB360CB-A58C-6A4E-AD6B-752D28867E99}" xr6:coauthVersionLast="40" xr6:coauthVersionMax="40" xr10:uidLastSave="{00000000-0000-0000-0000-000000000000}"/>
  <bookViews>
    <workbookView xWindow="-2780" yWindow="640" windowWidth="23940" windowHeight="14440" activeTab="1" xr2:uid="{29F3D329-8629-444F-A8FA-3AD40C72D4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2" l="1"/>
  <c r="S18" i="2" s="1"/>
  <c r="I15" i="2"/>
  <c r="Q14" i="2" s="1"/>
  <c r="K6" i="2"/>
  <c r="L6" i="2"/>
  <c r="Q6" i="2" s="1"/>
  <c r="M6" i="2"/>
  <c r="N6" i="2"/>
  <c r="S6" i="2" s="1"/>
  <c r="P6" i="2"/>
  <c r="R6" i="2"/>
  <c r="K10" i="2"/>
  <c r="L10" i="2"/>
  <c r="M10" i="2"/>
  <c r="N10" i="2"/>
  <c r="S10" i="2" s="1"/>
  <c r="P10" i="2"/>
  <c r="Q10" i="2"/>
  <c r="R10" i="2"/>
  <c r="K14" i="2"/>
  <c r="L14" i="2"/>
  <c r="M14" i="2"/>
  <c r="N14" i="2"/>
  <c r="P14" i="2"/>
  <c r="R14" i="2"/>
  <c r="S14" i="2"/>
  <c r="K18" i="2"/>
  <c r="L18" i="2"/>
  <c r="M18" i="2"/>
  <c r="N18" i="2"/>
  <c r="P18" i="2"/>
  <c r="R18" i="2"/>
  <c r="K22" i="2"/>
  <c r="L22" i="2"/>
  <c r="M22" i="2"/>
  <c r="R22" i="2" s="1"/>
  <c r="N22" i="2"/>
  <c r="S22" i="2" s="1"/>
  <c r="P22" i="2"/>
  <c r="Q22" i="2"/>
  <c r="K26" i="2"/>
  <c r="L26" i="2"/>
  <c r="M26" i="2"/>
  <c r="N26" i="2"/>
  <c r="P26" i="2"/>
  <c r="Q26" i="2"/>
  <c r="R26" i="2"/>
  <c r="S26" i="2"/>
  <c r="S2" i="2"/>
  <c r="Q2" i="2"/>
  <c r="P2" i="2"/>
  <c r="G23" i="2"/>
  <c r="G19" i="2"/>
  <c r="G15" i="2"/>
  <c r="G11" i="2"/>
  <c r="G7" i="2"/>
  <c r="G3" i="2"/>
  <c r="L2" i="2"/>
  <c r="K2" i="2"/>
  <c r="N2" i="2"/>
  <c r="M2" i="2"/>
  <c r="R2" i="2" s="1"/>
  <c r="Q18" i="2" l="1"/>
  <c r="C24" i="2"/>
  <c r="B22" i="2"/>
  <c r="C22" i="2"/>
  <c r="B24" i="2" s="1"/>
  <c r="G22" i="2"/>
  <c r="C20" i="2"/>
  <c r="B18" i="2"/>
  <c r="C18" i="2"/>
  <c r="B20" i="2" s="1"/>
  <c r="G18" i="2"/>
  <c r="C16" i="2"/>
  <c r="B14" i="2"/>
  <c r="C14" i="2"/>
  <c r="B16" i="2" s="1"/>
  <c r="G14" i="2"/>
  <c r="C12" i="2"/>
  <c r="B10" i="2"/>
  <c r="C10" i="2"/>
  <c r="G10" i="2"/>
  <c r="C8" i="2"/>
  <c r="C6" i="2"/>
  <c r="B6" i="2"/>
  <c r="G6" i="2"/>
  <c r="C4" i="2"/>
  <c r="B2" i="2"/>
  <c r="C2" i="2"/>
  <c r="G2" i="2"/>
  <c r="B28" i="2"/>
  <c r="C28" i="2" s="1"/>
  <c r="B12" i="2"/>
  <c r="B8" i="2"/>
  <c r="B4" i="2" l="1"/>
  <c r="N4" i="1" l="1"/>
  <c r="N5" i="1"/>
  <c r="N6" i="1"/>
  <c r="N7" i="1"/>
  <c r="N8" i="1"/>
  <c r="N10" i="1"/>
  <c r="N11" i="1"/>
  <c r="N12" i="1"/>
  <c r="N13" i="1"/>
  <c r="N14" i="1"/>
  <c r="N15" i="1"/>
  <c r="N20" i="1"/>
  <c r="N21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</calcChain>
</file>

<file path=xl/sharedStrings.xml><?xml version="1.0" encoding="utf-8"?>
<sst xmlns="http://schemas.openxmlformats.org/spreadsheetml/2006/main" count="149" uniqueCount="37">
  <si>
    <t>L500_slope</t>
    <phoneticPr fontId="1"/>
  </si>
  <si>
    <t>L1000</t>
    <phoneticPr fontId="1"/>
  </si>
  <si>
    <t>L2000</t>
    <phoneticPr fontId="1"/>
  </si>
  <si>
    <t>slope</t>
    <phoneticPr fontId="1"/>
  </si>
  <si>
    <t>h</t>
    <phoneticPr fontId="1"/>
  </si>
  <si>
    <t>wave</t>
    <phoneticPr fontId="1"/>
  </si>
  <si>
    <t>charge</t>
    <phoneticPr fontId="1"/>
  </si>
  <si>
    <t>c</t>
    <phoneticPr fontId="1"/>
  </si>
  <si>
    <t>W/A</t>
    <phoneticPr fontId="1"/>
  </si>
  <si>
    <t>W/mA</t>
    <phoneticPr fontId="1"/>
  </si>
  <si>
    <t>id</t>
    <phoneticPr fontId="1"/>
  </si>
  <si>
    <t>L</t>
    <phoneticPr fontId="1"/>
  </si>
  <si>
    <t>i_int</t>
    <phoneticPr fontId="1"/>
  </si>
  <si>
    <t>傾き</t>
    <phoneticPr fontId="1"/>
  </si>
  <si>
    <t>切片</t>
    <phoneticPr fontId="1"/>
  </si>
  <si>
    <t>alpha_int</t>
    <phoneticPr fontId="1"/>
  </si>
  <si>
    <t>a</t>
  </si>
  <si>
    <t>b</t>
  </si>
  <si>
    <t>ｱ</t>
  </si>
  <si>
    <t>w=3</t>
    <phoneticPr fontId="1"/>
  </si>
  <si>
    <t>w=5</t>
    <phoneticPr fontId="1"/>
  </si>
  <si>
    <t>w=10</t>
    <phoneticPr fontId="1"/>
  </si>
  <si>
    <t>w=30</t>
    <phoneticPr fontId="1"/>
  </si>
  <si>
    <t>w=50</t>
    <phoneticPr fontId="1"/>
  </si>
  <si>
    <t>w=100</t>
    <phoneticPr fontId="1"/>
  </si>
  <si>
    <t>w=300</t>
    <phoneticPr fontId="1"/>
  </si>
  <si>
    <t>係数値</t>
  </si>
  <si>
    <t>±標準偏差</t>
  </si>
  <si>
    <t>1.#J</t>
  </si>
  <si>
    <t>-</t>
    <phoneticPr fontId="1"/>
  </si>
  <si>
    <t>i_int+</t>
    <phoneticPr fontId="1"/>
  </si>
  <si>
    <t>i_int-</t>
    <phoneticPr fontId="1"/>
  </si>
  <si>
    <t>sigma_i_int</t>
    <phoneticPr fontId="1"/>
  </si>
  <si>
    <t>alpha</t>
    <phoneticPr fontId="1"/>
  </si>
  <si>
    <t>alpha+</t>
    <phoneticPr fontId="1"/>
  </si>
  <si>
    <t>alpha-</t>
    <phoneticPr fontId="1"/>
  </si>
  <si>
    <t>sigma_alpha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</si>
</sst>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F1F5-64D5-4739-9D4F-E2D1BFD55F4F}">
  <dimension ref="A1:T23"/>
  <sheetViews>
    <sheetView workbookViewId="0">
      <selection activeCell="K3" sqref="K3"/>
    </sheetView>
  </sheetViews>
  <sheetFormatPr baseColWidth="10" defaultColWidth="8.83203125" defaultRowHeight="18"/>
  <cols>
    <col min="14" max="14" width="9.5" bestFit="1" customWidth="1"/>
  </cols>
  <sheetData>
    <row r="1" spans="1:20">
      <c r="B1" t="s">
        <v>9</v>
      </c>
      <c r="E1" t="s">
        <v>6</v>
      </c>
      <c r="F1" t="s">
        <v>4</v>
      </c>
      <c r="G1" t="s">
        <v>5</v>
      </c>
      <c r="H1" t="s">
        <v>7</v>
      </c>
    </row>
    <row r="2" spans="1:20">
      <c r="B2" t="s">
        <v>0</v>
      </c>
      <c r="C2" t="s">
        <v>1</v>
      </c>
      <c r="D2" t="s">
        <v>2</v>
      </c>
      <c r="E2" s="1">
        <v>1.60218E-19</v>
      </c>
      <c r="F2" s="1">
        <v>6.6260700000000002E-34</v>
      </c>
      <c r="G2" s="1">
        <v>1.0499999999999999E-6</v>
      </c>
      <c r="H2" s="1">
        <v>299792000</v>
      </c>
      <c r="I2">
        <v>1.1808000000000001</v>
      </c>
      <c r="K2" t="s">
        <v>3</v>
      </c>
      <c r="L2" t="s">
        <v>8</v>
      </c>
      <c r="M2" t="s">
        <v>11</v>
      </c>
      <c r="N2" t="s">
        <v>10</v>
      </c>
    </row>
    <row r="3" spans="1:20">
      <c r="A3">
        <v>3</v>
      </c>
      <c r="B3">
        <v>5.1031999999999998E-4</v>
      </c>
      <c r="C3">
        <v>4.1399999999999998E-4</v>
      </c>
      <c r="J3">
        <v>3</v>
      </c>
      <c r="K3">
        <v>5.1031999999999998E-4</v>
      </c>
      <c r="L3">
        <f>K3*1000</f>
        <v>0.51032</v>
      </c>
      <c r="M3">
        <v>500</v>
      </c>
      <c r="N3" s="1">
        <f>E$2/F$2/(H$2/G$2)*L3</f>
        <v>0.43218245812566869</v>
      </c>
      <c r="P3">
        <v>50</v>
      </c>
      <c r="Q3">
        <v>6.445E-4</v>
      </c>
      <c r="R3">
        <v>0.64449999999999996</v>
      </c>
      <c r="S3">
        <v>500</v>
      </c>
      <c r="T3">
        <v>0.54581751501409603</v>
      </c>
    </row>
    <row r="4" spans="1:20">
      <c r="A4">
        <v>5</v>
      </c>
      <c r="B4">
        <v>6.6817999999999999E-4</v>
      </c>
      <c r="C4">
        <v>6.1724000000000002E-4</v>
      </c>
      <c r="J4">
        <v>5</v>
      </c>
      <c r="K4">
        <v>6.6817999999999999E-4</v>
      </c>
      <c r="L4">
        <f t="shared" ref="L4:L23" si="0">K4*1000</f>
        <v>0.66818</v>
      </c>
      <c r="M4">
        <v>500</v>
      </c>
      <c r="N4" s="1">
        <f t="shared" ref="N4:N21" si="1">E$2/F$2/(H$2/G$2)*L4</f>
        <v>0.56587175668288392</v>
      </c>
      <c r="P4">
        <v>50</v>
      </c>
      <c r="Q4">
        <v>4.1703999999999998E-4</v>
      </c>
      <c r="R4">
        <v>0.41703999999999997</v>
      </c>
      <c r="S4">
        <v>1000</v>
      </c>
      <c r="T4">
        <v>0.35318500614659204</v>
      </c>
    </row>
    <row r="5" spans="1:20">
      <c r="A5">
        <v>10</v>
      </c>
      <c r="B5">
        <v>6.9926000000000005E-4</v>
      </c>
      <c r="C5">
        <v>5.3072000000000004E-4</v>
      </c>
      <c r="J5">
        <v>10</v>
      </c>
      <c r="K5">
        <v>6.9926000000000005E-4</v>
      </c>
      <c r="L5">
        <f t="shared" si="0"/>
        <v>0.6992600000000001</v>
      </c>
      <c r="M5">
        <v>500</v>
      </c>
      <c r="N5" s="1">
        <f t="shared" si="1"/>
        <v>0.59219294887316809</v>
      </c>
      <c r="P5">
        <v>50</v>
      </c>
      <c r="Q5">
        <v>2.6993999999999998E-4</v>
      </c>
      <c r="R5">
        <v>0.26993999999999996</v>
      </c>
      <c r="S5">
        <v>2000</v>
      </c>
      <c r="T5">
        <v>0.22860819240171459</v>
      </c>
    </row>
    <row r="6" spans="1:20">
      <c r="A6">
        <v>30</v>
      </c>
      <c r="B6">
        <v>6.5116000000000002E-4</v>
      </c>
      <c r="C6">
        <v>3.234E-4</v>
      </c>
      <c r="D6">
        <v>1.69304E-4</v>
      </c>
      <c r="J6">
        <v>30</v>
      </c>
      <c r="K6">
        <v>6.5116000000000002E-4</v>
      </c>
      <c r="L6">
        <f t="shared" si="0"/>
        <v>0.65116000000000007</v>
      </c>
      <c r="M6">
        <v>500</v>
      </c>
      <c r="N6" s="1">
        <f t="shared" si="1"/>
        <v>0.55145777048344269</v>
      </c>
    </row>
    <row r="7" spans="1:20">
      <c r="A7">
        <v>50</v>
      </c>
      <c r="B7">
        <v>6.445E-4</v>
      </c>
      <c r="C7">
        <v>4.1703999999999998E-4</v>
      </c>
      <c r="D7">
        <v>2.6993999999999998E-4</v>
      </c>
      <c r="J7">
        <v>50</v>
      </c>
      <c r="K7">
        <v>6.445E-4</v>
      </c>
      <c r="L7">
        <f t="shared" si="0"/>
        <v>0.64449999999999996</v>
      </c>
      <c r="M7">
        <v>500</v>
      </c>
      <c r="N7" s="1">
        <f t="shared" si="1"/>
        <v>0.54581751501409603</v>
      </c>
    </row>
    <row r="8" spans="1:20">
      <c r="A8">
        <v>100</v>
      </c>
      <c r="B8">
        <v>7.1199999999999996E-4</v>
      </c>
      <c r="C8">
        <v>5.2375999999999996E-4</v>
      </c>
      <c r="J8">
        <v>100</v>
      </c>
      <c r="K8">
        <v>7.1199999999999996E-4</v>
      </c>
      <c r="L8">
        <f t="shared" si="0"/>
        <v>0.71199999999999997</v>
      </c>
      <c r="M8">
        <v>500</v>
      </c>
      <c r="N8" s="1">
        <f t="shared" si="1"/>
        <v>0.60298226639260877</v>
      </c>
    </row>
    <row r="9" spans="1:20">
      <c r="A9">
        <v>300</v>
      </c>
      <c r="J9">
        <v>300</v>
      </c>
      <c r="L9">
        <f t="shared" si="0"/>
        <v>0</v>
      </c>
      <c r="M9">
        <v>500</v>
      </c>
      <c r="N9" s="1"/>
    </row>
    <row r="10" spans="1:20">
      <c r="J10">
        <v>3</v>
      </c>
      <c r="K10">
        <v>4.1399999999999998E-4</v>
      </c>
      <c r="L10">
        <f t="shared" si="0"/>
        <v>0.41399999999999998</v>
      </c>
      <c r="M10">
        <v>1000</v>
      </c>
      <c r="N10" s="1">
        <f t="shared" si="1"/>
        <v>0.35061047512154497</v>
      </c>
    </row>
    <row r="11" spans="1:20">
      <c r="J11">
        <v>5</v>
      </c>
      <c r="K11">
        <v>6.1724000000000002E-4</v>
      </c>
      <c r="L11">
        <f t="shared" si="0"/>
        <v>0.61724000000000001</v>
      </c>
      <c r="M11">
        <v>1000</v>
      </c>
      <c r="N11" s="1">
        <f t="shared" si="1"/>
        <v>0.52273142430923292</v>
      </c>
    </row>
    <row r="12" spans="1:20">
      <c r="J12">
        <v>10</v>
      </c>
      <c r="K12">
        <v>5.3072000000000004E-4</v>
      </c>
      <c r="L12">
        <f t="shared" si="0"/>
        <v>0.53072000000000008</v>
      </c>
      <c r="M12">
        <v>1000</v>
      </c>
      <c r="N12" s="1">
        <f t="shared" si="1"/>
        <v>0.44945891632006374</v>
      </c>
    </row>
    <row r="13" spans="1:20">
      <c r="J13">
        <v>30</v>
      </c>
      <c r="K13">
        <v>3.234E-4</v>
      </c>
      <c r="L13">
        <f t="shared" si="0"/>
        <v>0.32340000000000002</v>
      </c>
      <c r="M13">
        <v>1000</v>
      </c>
      <c r="N13" s="1">
        <f t="shared" si="1"/>
        <v>0.27388267549349676</v>
      </c>
    </row>
    <row r="14" spans="1:20">
      <c r="J14">
        <v>50</v>
      </c>
      <c r="K14">
        <v>4.1703999999999998E-4</v>
      </c>
      <c r="L14">
        <f t="shared" si="0"/>
        <v>0.41703999999999997</v>
      </c>
      <c r="M14">
        <v>1000</v>
      </c>
      <c r="N14" s="1">
        <f t="shared" si="1"/>
        <v>0.35318500614659204</v>
      </c>
    </row>
    <row r="15" spans="1:20">
      <c r="J15">
        <v>100</v>
      </c>
      <c r="K15">
        <v>5.2375999999999996E-4</v>
      </c>
      <c r="L15">
        <f t="shared" si="0"/>
        <v>0.52376</v>
      </c>
      <c r="M15">
        <v>1000</v>
      </c>
      <c r="N15" s="1">
        <f t="shared" si="1"/>
        <v>0.4435645952890348</v>
      </c>
    </row>
    <row r="16" spans="1:20">
      <c r="J16">
        <v>300</v>
      </c>
      <c r="L16">
        <f t="shared" si="0"/>
        <v>0</v>
      </c>
      <c r="M16">
        <v>1000</v>
      </c>
      <c r="N16" s="1"/>
    </row>
    <row r="17" spans="10:14">
      <c r="J17">
        <v>3</v>
      </c>
      <c r="L17">
        <f t="shared" si="0"/>
        <v>0</v>
      </c>
      <c r="M17">
        <v>2000</v>
      </c>
      <c r="N17" s="1"/>
    </row>
    <row r="18" spans="10:14">
      <c r="J18">
        <v>5</v>
      </c>
      <c r="L18">
        <f t="shared" si="0"/>
        <v>0</v>
      </c>
      <c r="M18">
        <v>2000</v>
      </c>
      <c r="N18" s="1"/>
    </row>
    <row r="19" spans="10:14">
      <c r="J19">
        <v>10</v>
      </c>
      <c r="L19">
        <f t="shared" si="0"/>
        <v>0</v>
      </c>
      <c r="M19">
        <v>2000</v>
      </c>
      <c r="N19" s="1"/>
    </row>
    <row r="20" spans="10:14">
      <c r="J20">
        <v>30</v>
      </c>
      <c r="K20">
        <v>1.69304E-4</v>
      </c>
      <c r="L20">
        <f t="shared" si="0"/>
        <v>0.16930400000000001</v>
      </c>
      <c r="M20">
        <v>2000</v>
      </c>
      <c r="N20" s="1">
        <f t="shared" si="1"/>
        <v>0.14338105285018854</v>
      </c>
    </row>
    <row r="21" spans="10:14">
      <c r="J21">
        <v>50</v>
      </c>
      <c r="K21">
        <v>2.6993999999999998E-4</v>
      </c>
      <c r="L21">
        <f t="shared" si="0"/>
        <v>0.26993999999999996</v>
      </c>
      <c r="M21">
        <v>2000</v>
      </c>
      <c r="N21" s="1">
        <f t="shared" si="1"/>
        <v>0.22860819240171459</v>
      </c>
    </row>
    <row r="22" spans="10:14">
      <c r="J22">
        <v>100</v>
      </c>
      <c r="L22">
        <f t="shared" si="0"/>
        <v>0</v>
      </c>
      <c r="M22">
        <v>2000</v>
      </c>
      <c r="N22" s="1"/>
    </row>
    <row r="23" spans="10:14">
      <c r="J23">
        <v>300</v>
      </c>
      <c r="L23">
        <f t="shared" si="0"/>
        <v>0</v>
      </c>
      <c r="M23">
        <v>2000</v>
      </c>
      <c r="N23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F4A4-A247-40E2-A51F-61BAD6C8DE28}">
  <dimension ref="A1:S28"/>
  <sheetViews>
    <sheetView tabSelected="1" workbookViewId="0">
      <selection activeCell="N7" sqref="N7"/>
    </sheetView>
  </sheetViews>
  <sheetFormatPr baseColWidth="10" defaultColWidth="8.83203125" defaultRowHeight="18"/>
  <cols>
    <col min="4" max="4" width="13.33203125" bestFit="1" customWidth="1"/>
    <col min="9" max="9" width="10.83203125" bestFit="1" customWidth="1"/>
    <col min="19" max="19" width="9.6640625" bestFit="1" customWidth="1"/>
  </cols>
  <sheetData>
    <row r="1" spans="1:19">
      <c r="A1" t="s">
        <v>19</v>
      </c>
      <c r="B1" t="s">
        <v>13</v>
      </c>
      <c r="C1" t="s">
        <v>14</v>
      </c>
      <c r="F1" t="s">
        <v>26</v>
      </c>
      <c r="G1" t="s">
        <v>27</v>
      </c>
      <c r="K1" t="s">
        <v>12</v>
      </c>
      <c r="L1" t="s">
        <v>30</v>
      </c>
      <c r="M1" t="s">
        <v>31</v>
      </c>
      <c r="N1" t="s">
        <v>32</v>
      </c>
      <c r="P1" t="s">
        <v>33</v>
      </c>
      <c r="Q1" t="s">
        <v>34</v>
      </c>
      <c r="R1" t="s">
        <v>35</v>
      </c>
      <c r="S1" t="s">
        <v>36</v>
      </c>
    </row>
    <row r="2" spans="1:19">
      <c r="B2">
        <f>0.0010684</f>
        <v>1.0683999999999999E-3</v>
      </c>
      <c r="C2">
        <f>1.7806</f>
        <v>1.7806</v>
      </c>
      <c r="F2" t="s">
        <v>16</v>
      </c>
      <c r="G2">
        <f>1.7806</f>
        <v>1.7806</v>
      </c>
      <c r="H2" t="s">
        <v>18</v>
      </c>
      <c r="I2" t="s">
        <v>28</v>
      </c>
      <c r="K2">
        <f>1/G2</f>
        <v>0.5616084465910367</v>
      </c>
      <c r="L2" t="e">
        <f>1/(G2-I2)</f>
        <v>#VALUE!</v>
      </c>
      <c r="M2" t="e">
        <f>1/(G2+I2)</f>
        <v>#VALUE!</v>
      </c>
      <c r="N2" t="e">
        <f>I2/G2/G2</f>
        <v>#VALUE!</v>
      </c>
      <c r="P2">
        <f>G3*LN(1/0.32)*K2</f>
        <v>6.8368616654972971</v>
      </c>
      <c r="Q2" t="e">
        <f>(G3+I3)*LN(1/B4)*L2</f>
        <v>#VALUE!</v>
      </c>
      <c r="R2" t="e">
        <f>(G3-I3)*LN(1/B4)*M2</f>
        <v>#VALUE!</v>
      </c>
      <c r="S2" t="e">
        <f>LN(1/0.32)*SQRT((K2*I3)^2+(G3*N2)^2)</f>
        <v>#VALUE!</v>
      </c>
    </row>
    <row r="3" spans="1:19">
      <c r="B3" t="s">
        <v>12</v>
      </c>
      <c r="C3" t="s">
        <v>15</v>
      </c>
      <c r="F3" t="s">
        <v>17</v>
      </c>
      <c r="G3">
        <f>0.0010684*10000</f>
        <v>10.683999999999999</v>
      </c>
      <c r="H3" t="s">
        <v>18</v>
      </c>
      <c r="I3" t="s">
        <v>28</v>
      </c>
    </row>
    <row r="4" spans="1:19">
      <c r="B4">
        <f>1/C2</f>
        <v>0.5616084465910367</v>
      </c>
      <c r="C4">
        <f>B2*LN(1/0.32)*B4*10000</f>
        <v>6.836861665497298</v>
      </c>
      <c r="M4" s="1"/>
    </row>
    <row r="5" spans="1:19">
      <c r="A5" t="s">
        <v>20</v>
      </c>
      <c r="B5" t="s">
        <v>13</v>
      </c>
      <c r="C5" t="s">
        <v>14</v>
      </c>
      <c r="F5" t="s">
        <v>26</v>
      </c>
      <c r="G5" t="s">
        <v>27</v>
      </c>
      <c r="K5" t="s">
        <v>12</v>
      </c>
      <c r="L5" t="s">
        <v>30</v>
      </c>
      <c r="M5" t="s">
        <v>31</v>
      </c>
      <c r="N5" t="s">
        <v>32</v>
      </c>
      <c r="P5" t="s">
        <v>33</v>
      </c>
      <c r="Q5" t="s">
        <v>34</v>
      </c>
      <c r="R5" t="s">
        <v>35</v>
      </c>
      <c r="S5" t="s">
        <v>36</v>
      </c>
    </row>
    <row r="6" spans="1:19">
      <c r="B6">
        <f>0.00029052</f>
        <v>2.9052E-4</v>
      </c>
      <c r="C6">
        <f>1.6215</f>
        <v>1.6214999999999999</v>
      </c>
      <c r="F6" t="s">
        <v>16</v>
      </c>
      <c r="G6">
        <f>1.6215</f>
        <v>1.6214999999999999</v>
      </c>
      <c r="H6" t="s">
        <v>18</v>
      </c>
      <c r="I6" t="s">
        <v>28</v>
      </c>
      <c r="K6">
        <f t="shared" ref="K6:K26" si="0">1/G6</f>
        <v>0.61671292013567691</v>
      </c>
      <c r="L6" t="e">
        <f t="shared" ref="L6:L26" si="1">1/(G6-I6)</f>
        <v>#VALUE!</v>
      </c>
      <c r="M6" t="e">
        <f t="shared" ref="M6:M26" si="2">1/(G6+I6)</f>
        <v>#VALUE!</v>
      </c>
      <c r="N6" t="e">
        <f t="shared" ref="N6:N26" si="3">I6/G6/G6</f>
        <v>#VALUE!</v>
      </c>
      <c r="P6">
        <f t="shared" ref="P6:P26" si="4">G7*LN(1/0.32)*K6</f>
        <v>2.0414952078438717</v>
      </c>
      <c r="Q6" t="e">
        <f t="shared" ref="Q6" si="5">(G7+I7)*LN(1/B8)*L6</f>
        <v>#VALUE!</v>
      </c>
      <c r="R6" t="e">
        <f t="shared" ref="R6" si="6">(G7-I7)*LN(1/B8)*M6</f>
        <v>#VALUE!</v>
      </c>
      <c r="S6" t="e">
        <f t="shared" ref="S6:S26" si="7">LN(1/0.32)*SQRT((K6*I7)^2+(G7*N6)^2)</f>
        <v>#VALUE!</v>
      </c>
    </row>
    <row r="7" spans="1:19">
      <c r="B7" t="s">
        <v>12</v>
      </c>
      <c r="C7" t="s">
        <v>15</v>
      </c>
      <c r="F7" t="s">
        <v>17</v>
      </c>
      <c r="G7">
        <f>0.00029052*10000</f>
        <v>2.9052000000000002</v>
      </c>
      <c r="H7" t="s">
        <v>18</v>
      </c>
      <c r="I7" t="s">
        <v>28</v>
      </c>
    </row>
    <row r="8" spans="1:19">
      <c r="B8">
        <f>1/C6</f>
        <v>0.61671292013567691</v>
      </c>
      <c r="C8">
        <f>B6*LN(1/0.32)*B8*10000</f>
        <v>2.0414952078438713</v>
      </c>
      <c r="M8" s="1"/>
    </row>
    <row r="9" spans="1:19">
      <c r="A9" t="s">
        <v>21</v>
      </c>
      <c r="B9" t="s">
        <v>13</v>
      </c>
      <c r="C9" t="s">
        <v>14</v>
      </c>
      <c r="F9" t="s">
        <v>26</v>
      </c>
      <c r="G9" t="s">
        <v>27</v>
      </c>
      <c r="K9" t="s">
        <v>12</v>
      </c>
      <c r="L9" t="s">
        <v>30</v>
      </c>
      <c r="M9" t="s">
        <v>31</v>
      </c>
      <c r="N9" t="s">
        <v>32</v>
      </c>
      <c r="P9" t="s">
        <v>33</v>
      </c>
      <c r="Q9" t="s">
        <v>34</v>
      </c>
      <c r="R9" t="s">
        <v>35</v>
      </c>
      <c r="S9" t="s">
        <v>36</v>
      </c>
    </row>
    <row r="10" spans="1:19">
      <c r="B10">
        <f>0.001076</f>
        <v>1.0759999999999999E-3</v>
      </c>
      <c r="C10">
        <f>1.1512</f>
        <v>1.1512</v>
      </c>
      <c r="F10" t="s">
        <v>16</v>
      </c>
      <c r="G10">
        <f>1.1512</f>
        <v>1.1512</v>
      </c>
      <c r="H10" t="s">
        <v>18</v>
      </c>
      <c r="I10" t="s">
        <v>28</v>
      </c>
      <c r="K10">
        <f t="shared" ref="K10:K26" si="8">1/G10</f>
        <v>0.86865879082696318</v>
      </c>
      <c r="L10" t="e">
        <f t="shared" ref="L10:L26" si="9">1/(G10-I10)</f>
        <v>#VALUE!</v>
      </c>
      <c r="M10" t="e">
        <f t="shared" ref="M10:M26" si="10">1/(G10+I10)</f>
        <v>#VALUE!</v>
      </c>
      <c r="N10" t="e">
        <f t="shared" ref="N10:N26" si="11">I10/G10/G10</f>
        <v>#VALUE!</v>
      </c>
      <c r="P10">
        <f t="shared" ref="P10:P26" si="12">G11*LN(1/0.32)*K10</f>
        <v>10.650028567674431</v>
      </c>
      <c r="Q10" t="e">
        <f t="shared" ref="Q10" si="13">(G11+I11)*LN(1/B12)*L10</f>
        <v>#VALUE!</v>
      </c>
      <c r="R10" t="e">
        <f t="shared" ref="R10" si="14">(G11-I11)*LN(1/B12)*M10</f>
        <v>#VALUE!</v>
      </c>
      <c r="S10" t="e">
        <f t="shared" ref="S10:S26" si="15">LN(1/0.32)*SQRT((K10*I11)^2+(G11*N10)^2)</f>
        <v>#VALUE!</v>
      </c>
    </row>
    <row r="11" spans="1:19">
      <c r="B11" t="s">
        <v>12</v>
      </c>
      <c r="C11" t="s">
        <v>15</v>
      </c>
      <c r="F11" t="s">
        <v>17</v>
      </c>
      <c r="G11">
        <f>0.001076*10000</f>
        <v>10.76</v>
      </c>
      <c r="H11" t="s">
        <v>18</v>
      </c>
      <c r="I11" t="s">
        <v>28</v>
      </c>
    </row>
    <row r="12" spans="1:19">
      <c r="B12">
        <f>1/C10</f>
        <v>0.86865879082696318</v>
      </c>
      <c r="C12">
        <f>B10*LN(1/0.32)*B12*10000</f>
        <v>10.650028567674431</v>
      </c>
      <c r="M12" s="1"/>
    </row>
    <row r="13" spans="1:19">
      <c r="A13" t="s">
        <v>22</v>
      </c>
      <c r="B13" t="s">
        <v>13</v>
      </c>
      <c r="C13" t="s">
        <v>14</v>
      </c>
      <c r="F13" t="s">
        <v>26</v>
      </c>
      <c r="G13" t="s">
        <v>27</v>
      </c>
      <c r="K13" t="s">
        <v>12</v>
      </c>
      <c r="L13" t="s">
        <v>30</v>
      </c>
      <c r="M13" t="s">
        <v>31</v>
      </c>
      <c r="N13" t="s">
        <v>32</v>
      </c>
      <c r="P13" t="s">
        <v>33</v>
      </c>
      <c r="Q13" t="s">
        <v>34</v>
      </c>
      <c r="R13" t="s">
        <v>35</v>
      </c>
      <c r="S13" t="s">
        <v>36</v>
      </c>
    </row>
    <row r="14" spans="1:19">
      <c r="B14">
        <f>0.0034366</f>
        <v>3.4366000000000002E-3</v>
      </c>
      <c r="C14">
        <f>0.1432</f>
        <v>0.14319999999999999</v>
      </c>
      <c r="F14" t="s">
        <v>16</v>
      </c>
      <c r="G14">
        <f>0.1432</f>
        <v>0.14319999999999999</v>
      </c>
      <c r="H14" t="s">
        <v>18</v>
      </c>
      <c r="I14">
        <v>0.107</v>
      </c>
      <c r="K14">
        <f t="shared" ref="K14:K26" si="16">1/G14</f>
        <v>6.983240223463687</v>
      </c>
      <c r="L14">
        <f t="shared" ref="L14:L26" si="17">1/(G14-I14)</f>
        <v>27.624309392265197</v>
      </c>
      <c r="M14">
        <f t="shared" ref="M14:M26" si="18">1/(G14+I14)</f>
        <v>3.9968025579536373</v>
      </c>
      <c r="N14">
        <f t="shared" ref="N14:N26" si="19">I14/G14/G14</f>
        <v>5.2179239099903247</v>
      </c>
      <c r="P14">
        <f t="shared" ref="P14:P26" si="20">G15*LN(1/0.32)*K14</f>
        <v>273.44831407857083</v>
      </c>
      <c r="Q14">
        <f t="shared" ref="Q14" si="21">(G15+I15)*LN(1/B16)*L14</f>
        <v>-1888.3752378225565</v>
      </c>
      <c r="R14">
        <f t="shared" ref="R14" si="22">(G15-I15)*LN(1/B16)*M14</f>
        <v>-260.68086965509673</v>
      </c>
      <c r="S14">
        <f t="shared" ref="S14:S26" si="23">LN(1/0.32)*SQRT((K14*I15)^2+(G15*N14)^2)</f>
        <v>204.42328911472515</v>
      </c>
    </row>
    <row r="15" spans="1:19">
      <c r="B15" t="s">
        <v>12</v>
      </c>
      <c r="C15" t="s">
        <v>15</v>
      </c>
      <c r="F15" t="s">
        <v>17</v>
      </c>
      <c r="G15">
        <f>0.0034366*10000</f>
        <v>34.366</v>
      </c>
      <c r="H15" t="s">
        <v>18</v>
      </c>
      <c r="I15" s="1">
        <f>10000*0.0000807</f>
        <v>0.80699999999999994</v>
      </c>
    </row>
    <row r="16" spans="1:19">
      <c r="B16">
        <f>1/C14</f>
        <v>6.983240223463687</v>
      </c>
      <c r="C16">
        <f>B14*LN(1/0.32)*B16*10000</f>
        <v>273.44831407857083</v>
      </c>
      <c r="M16" s="1"/>
    </row>
    <row r="17" spans="1:19">
      <c r="A17" t="s">
        <v>23</v>
      </c>
      <c r="B17" t="s">
        <v>13</v>
      </c>
      <c r="C17" t="s">
        <v>14</v>
      </c>
      <c r="F17" t="s">
        <v>26</v>
      </c>
      <c r="G17" t="s">
        <v>27</v>
      </c>
      <c r="K17" t="s">
        <v>12</v>
      </c>
      <c r="L17" t="s">
        <v>30</v>
      </c>
      <c r="M17" t="s">
        <v>31</v>
      </c>
      <c r="N17" t="s">
        <v>32</v>
      </c>
      <c r="P17" t="s">
        <v>33</v>
      </c>
      <c r="Q17" t="s">
        <v>34</v>
      </c>
      <c r="R17" t="s">
        <v>35</v>
      </c>
      <c r="S17" t="s">
        <v>36</v>
      </c>
    </row>
    <row r="18" spans="1:19">
      <c r="B18">
        <f>0.0016731</f>
        <v>1.6731000000000001E-3</v>
      </c>
      <c r="C18">
        <f>1.0607</f>
        <v>1.0607</v>
      </c>
      <c r="F18" t="s">
        <v>16</v>
      </c>
      <c r="G18">
        <f>1.0607</f>
        <v>1.0607</v>
      </c>
      <c r="H18" t="s">
        <v>18</v>
      </c>
      <c r="I18">
        <v>0.14899999999999999</v>
      </c>
      <c r="K18">
        <f t="shared" ref="K18:K26" si="24">1/G18</f>
        <v>0.9427736400490242</v>
      </c>
      <c r="L18">
        <f t="shared" ref="L18:L26" si="25">1/(G18-I18)</f>
        <v>1.0968520346605244</v>
      </c>
      <c r="M18">
        <f t="shared" ref="M18:M26" si="26">1/(G18+I18)</f>
        <v>0.82665123584359756</v>
      </c>
      <c r="N18">
        <f t="shared" ref="N18:N26" si="27">I18/G18/G18</f>
        <v>0.13243449831932178</v>
      </c>
      <c r="P18">
        <f t="shared" ref="P18:P26" si="28">G19*LN(1/0.32)*K18</f>
        <v>17.972918819670532</v>
      </c>
      <c r="Q18">
        <f t="shared" ref="Q18" si="29">(G19+I19)*LN(1/B20)*L18</f>
        <v>1.1544719481634349</v>
      </c>
      <c r="R18">
        <f t="shared" ref="R18" si="30">(G19-I19)*LN(1/B20)*M18</f>
        <v>0.75998378318956261</v>
      </c>
      <c r="S18">
        <f t="shared" ref="S18:S26" si="31">LN(1/0.32)*SQRT((K18*I19)^2+(G19*N18)^2)</f>
        <v>2.8013719870484231</v>
      </c>
    </row>
    <row r="19" spans="1:19">
      <c r="B19" t="s">
        <v>12</v>
      </c>
      <c r="C19" t="s">
        <v>15</v>
      </c>
      <c r="F19" t="s">
        <v>17</v>
      </c>
      <c r="G19">
        <f>0.0016731*10000</f>
        <v>16.731000000000002</v>
      </c>
      <c r="H19" t="s">
        <v>18</v>
      </c>
      <c r="I19">
        <f>10000*0.000113</f>
        <v>1.1299999999999999</v>
      </c>
    </row>
    <row r="20" spans="1:19">
      <c r="B20">
        <f>1/C18</f>
        <v>0.9427736400490242</v>
      </c>
      <c r="C20">
        <f>B18*LN(1/0.32)*B20*10000</f>
        <v>17.972918819670532</v>
      </c>
      <c r="M20" s="1"/>
    </row>
    <row r="21" spans="1:19">
      <c r="A21" t="s">
        <v>24</v>
      </c>
      <c r="B21" t="s">
        <v>13</v>
      </c>
      <c r="C21" t="s">
        <v>14</v>
      </c>
      <c r="F21" t="s">
        <v>26</v>
      </c>
      <c r="G21" t="s">
        <v>27</v>
      </c>
      <c r="K21" t="s">
        <v>12</v>
      </c>
      <c r="L21" t="s">
        <v>30</v>
      </c>
      <c r="M21" t="s">
        <v>31</v>
      </c>
      <c r="N21" t="s">
        <v>32</v>
      </c>
      <c r="P21" t="s">
        <v>33</v>
      </c>
      <c r="Q21" t="s">
        <v>34</v>
      </c>
      <c r="R21" t="s">
        <v>35</v>
      </c>
      <c r="S21" t="s">
        <v>36</v>
      </c>
    </row>
    <row r="22" spans="1:19">
      <c r="B22">
        <f>0.0011878</f>
        <v>1.1877999999999999E-3</v>
      </c>
      <c r="C22">
        <f>1.0645</f>
        <v>1.0645</v>
      </c>
      <c r="F22" t="s">
        <v>16</v>
      </c>
      <c r="G22">
        <f>1.0645</f>
        <v>1.0645</v>
      </c>
      <c r="H22" t="s">
        <v>18</v>
      </c>
      <c r="I22" t="s">
        <v>28</v>
      </c>
      <c r="K22">
        <f t="shared" ref="K22:K26" si="32">1/G22</f>
        <v>0.93940817285110378</v>
      </c>
      <c r="L22" t="e">
        <f t="shared" ref="L22:L26" si="33">1/(G22-I22)</f>
        <v>#VALUE!</v>
      </c>
      <c r="M22" t="e">
        <f t="shared" ref="M22:M26" si="34">1/(G22+I22)</f>
        <v>#VALUE!</v>
      </c>
      <c r="N22" t="e">
        <f t="shared" ref="N22:N26" si="35">I22/G22/G22</f>
        <v>#VALUE!</v>
      </c>
      <c r="P22">
        <f t="shared" ref="P22:P26" si="36">G23*LN(1/0.32)*K22</f>
        <v>12.714138483524094</v>
      </c>
      <c r="Q22" t="e">
        <f t="shared" ref="Q22" si="37">(G23+I23)*LN(1/B24)*L22</f>
        <v>#VALUE!</v>
      </c>
      <c r="R22" t="e">
        <f t="shared" ref="R22" si="38">(G23-I23)*LN(1/B24)*M22</f>
        <v>#VALUE!</v>
      </c>
      <c r="S22" t="e">
        <f t="shared" ref="S22:S26" si="39">LN(1/0.32)*SQRT((K22*I23)^2+(G23*N22)^2)</f>
        <v>#VALUE!</v>
      </c>
    </row>
    <row r="23" spans="1:19">
      <c r="B23" t="s">
        <v>12</v>
      </c>
      <c r="C23" t="s">
        <v>15</v>
      </c>
      <c r="F23" t="s">
        <v>17</v>
      </c>
      <c r="G23">
        <f>0.0011878*10000</f>
        <v>11.878</v>
      </c>
      <c r="H23" t="s">
        <v>18</v>
      </c>
      <c r="I23" t="s">
        <v>28</v>
      </c>
    </row>
    <row r="24" spans="1:19">
      <c r="B24">
        <f>1/C22</f>
        <v>0.93940817285110378</v>
      </c>
      <c r="C24">
        <f>B22*LN(1/0.32)*B24*10000</f>
        <v>12.714138483524092</v>
      </c>
      <c r="M24" s="1"/>
    </row>
    <row r="25" spans="1:19">
      <c r="A25" t="s">
        <v>25</v>
      </c>
      <c r="B25" t="s">
        <v>13</v>
      </c>
      <c r="C25" t="s">
        <v>14</v>
      </c>
      <c r="K25" t="s">
        <v>12</v>
      </c>
      <c r="L25" t="s">
        <v>30</v>
      </c>
      <c r="M25" t="s">
        <v>31</v>
      </c>
      <c r="N25" t="s">
        <v>32</v>
      </c>
      <c r="P25" t="s">
        <v>33</v>
      </c>
      <c r="Q25" t="s">
        <v>34</v>
      </c>
      <c r="R25" t="s">
        <v>35</v>
      </c>
      <c r="S25" t="s">
        <v>36</v>
      </c>
    </row>
    <row r="26" spans="1:19">
      <c r="B26" t="s">
        <v>29</v>
      </c>
      <c r="C26" t="s">
        <v>29</v>
      </c>
      <c r="K26" t="e">
        <f t="shared" ref="K26" si="40">1/G26</f>
        <v>#DIV/0!</v>
      </c>
      <c r="L26" t="e">
        <f t="shared" ref="L26" si="41">1/(G26-I26)</f>
        <v>#DIV/0!</v>
      </c>
      <c r="M26" t="e">
        <f t="shared" ref="M26" si="42">1/(G26+I26)</f>
        <v>#DIV/0!</v>
      </c>
      <c r="N26" t="e">
        <f t="shared" ref="N26" si="43">I26/G26/G26</f>
        <v>#DIV/0!</v>
      </c>
      <c r="P26" t="e">
        <f t="shared" ref="P26" si="44">G27*LN(1/0.32)*K26</f>
        <v>#DIV/0!</v>
      </c>
      <c r="Q26" t="e">
        <f t="shared" ref="Q26" si="45">(G27+I27)*LN(1/B28)*L26</f>
        <v>#VALUE!</v>
      </c>
      <c r="R26" t="e">
        <f t="shared" ref="R26" si="46">(G27-I27)*LN(1/B28)*M26</f>
        <v>#VALUE!</v>
      </c>
      <c r="S26" t="e">
        <f t="shared" ref="S26" si="47">LN(1/0.32)*SQRT((K26*I27)^2+(G27*N26)^2)</f>
        <v>#DIV/0!</v>
      </c>
    </row>
    <row r="27" spans="1:19">
      <c r="B27" t="s">
        <v>12</v>
      </c>
      <c r="C27" t="s">
        <v>15</v>
      </c>
    </row>
    <row r="28" spans="1:19">
      <c r="B28" t="e">
        <f>1/C26</f>
        <v>#VALUE!</v>
      </c>
      <c r="C28" t="e">
        <f>B26*LN(1/0.32)*B28</f>
        <v>#VALUE!</v>
      </c>
      <c r="M28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小松原　望</cp:lastModifiedBy>
  <dcterms:created xsi:type="dcterms:W3CDTF">2018-12-18T06:39:03Z</dcterms:created>
  <dcterms:modified xsi:type="dcterms:W3CDTF">2019-01-28T07:09:39Z</dcterms:modified>
</cp:coreProperties>
</file>