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\figure\"/>
    </mc:Choice>
  </mc:AlternateContent>
  <xr:revisionPtr revIDLastSave="0" documentId="13_ncr:1_{3CA7E448-39B7-41A9-A465-949C976ED09F}" xr6:coauthVersionLast="40" xr6:coauthVersionMax="40" xr10:uidLastSave="{00000000-0000-0000-0000-000000000000}"/>
  <bookViews>
    <workbookView xWindow="1860" yWindow="0" windowWidth="18270" windowHeight="7980" activeTab="1" xr2:uid="{40FD3CC7-F263-4D44-B85A-EA44070D3688}"/>
  </bookViews>
  <sheets>
    <sheet name="L100" sheetId="1" r:id="rId1"/>
    <sheet name="L200" sheetId="2" r:id="rId2"/>
    <sheet name="L300" sheetId="3" r:id="rId3"/>
    <sheet name="コンボリューション後まとめ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3" l="1"/>
  <c r="U15" i="3"/>
  <c r="U16" i="3"/>
  <c r="U17" i="3"/>
  <c r="U18" i="3"/>
  <c r="U19" i="3"/>
  <c r="U20" i="3"/>
  <c r="U21" i="3"/>
  <c r="U22" i="3"/>
  <c r="U23" i="3"/>
  <c r="U24" i="3"/>
  <c r="U25" i="3"/>
  <c r="U13" i="3"/>
  <c r="S21" i="3"/>
  <c r="L15" i="3"/>
  <c r="L16" i="3"/>
  <c r="L17" i="3"/>
  <c r="S17" i="3" s="1"/>
  <c r="L21" i="3"/>
  <c r="L23" i="3"/>
  <c r="L24" i="3"/>
  <c r="L25" i="3"/>
  <c r="S25" i="3" s="1"/>
  <c r="Q25" i="3"/>
  <c r="P25" i="3"/>
  <c r="O25" i="3"/>
  <c r="N25" i="3"/>
  <c r="Q24" i="3"/>
  <c r="S24" i="3" s="1"/>
  <c r="P24" i="3"/>
  <c r="O24" i="3"/>
  <c r="N24" i="3"/>
  <c r="Q23" i="3"/>
  <c r="S23" i="3" s="1"/>
  <c r="P23" i="3"/>
  <c r="O23" i="3"/>
  <c r="N23" i="3"/>
  <c r="Q22" i="3"/>
  <c r="L22" i="3" s="1"/>
  <c r="S22" i="3" s="1"/>
  <c r="P22" i="3"/>
  <c r="O22" i="3"/>
  <c r="N22" i="3"/>
  <c r="Q21" i="3"/>
  <c r="P21" i="3"/>
  <c r="O21" i="3"/>
  <c r="N21" i="3"/>
  <c r="Q20" i="3"/>
  <c r="L20" i="3" s="1"/>
  <c r="P20" i="3"/>
  <c r="O20" i="3"/>
  <c r="N20" i="3"/>
  <c r="Q19" i="3"/>
  <c r="L19" i="3" s="1"/>
  <c r="P19" i="3"/>
  <c r="O19" i="3"/>
  <c r="N19" i="3"/>
  <c r="Q18" i="3"/>
  <c r="L18" i="3" s="1"/>
  <c r="P18" i="3"/>
  <c r="O18" i="3"/>
  <c r="N18" i="3"/>
  <c r="Q17" i="3"/>
  <c r="P17" i="3"/>
  <c r="O17" i="3"/>
  <c r="N17" i="3"/>
  <c r="Q16" i="3"/>
  <c r="S16" i="3" s="1"/>
  <c r="P16" i="3"/>
  <c r="O16" i="3"/>
  <c r="N16" i="3"/>
  <c r="Q15" i="3"/>
  <c r="S15" i="3" s="1"/>
  <c r="P15" i="3"/>
  <c r="O15" i="3"/>
  <c r="N15" i="3"/>
  <c r="Q14" i="3"/>
  <c r="L14" i="3" s="1"/>
  <c r="S14" i="3" s="1"/>
  <c r="P14" i="3"/>
  <c r="O14" i="3"/>
  <c r="N14" i="3"/>
  <c r="Q13" i="3"/>
  <c r="L13" i="3" s="1"/>
  <c r="S13" i="3" s="1"/>
  <c r="P13" i="3"/>
  <c r="O13" i="3"/>
  <c r="N13" i="3"/>
  <c r="V6" i="3"/>
  <c r="V5" i="3"/>
  <c r="V4" i="3"/>
  <c r="V3" i="3"/>
  <c r="U6" i="3"/>
  <c r="U5" i="3"/>
  <c r="U4" i="3"/>
  <c r="U3" i="3"/>
  <c r="T6" i="3"/>
  <c r="T5" i="3"/>
  <c r="T4" i="3"/>
  <c r="T3" i="3"/>
  <c r="S3" i="3"/>
  <c r="S6" i="3"/>
  <c r="S5" i="3"/>
  <c r="S4" i="3"/>
  <c r="R6" i="3"/>
  <c r="R5" i="3"/>
  <c r="R4" i="3"/>
  <c r="R3" i="3"/>
  <c r="Q6" i="3"/>
  <c r="Q5" i="3"/>
  <c r="Q4" i="3"/>
  <c r="Q3" i="3"/>
  <c r="P6" i="3"/>
  <c r="P5" i="3"/>
  <c r="P4" i="3"/>
  <c r="P3" i="3"/>
  <c r="O6" i="3"/>
  <c r="O5" i="3"/>
  <c r="O4" i="3"/>
  <c r="O3" i="3"/>
  <c r="N6" i="3"/>
  <c r="N5" i="3"/>
  <c r="N4" i="3"/>
  <c r="N3" i="3"/>
  <c r="M6" i="3"/>
  <c r="M5" i="3"/>
  <c r="M4" i="3"/>
  <c r="M3" i="3"/>
  <c r="L6" i="3"/>
  <c r="L5" i="3"/>
  <c r="L4" i="3"/>
  <c r="L3" i="3"/>
  <c r="K6" i="3"/>
  <c r="K5" i="3"/>
  <c r="K4" i="3"/>
  <c r="K3" i="3"/>
  <c r="J6" i="3"/>
  <c r="J5" i="3"/>
  <c r="J4" i="3"/>
  <c r="J3" i="3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11" i="2"/>
  <c r="J19" i="2"/>
  <c r="J20" i="2"/>
  <c r="J21" i="2"/>
  <c r="J22" i="2"/>
  <c r="J23" i="2"/>
  <c r="J24" i="2"/>
  <c r="J25" i="2"/>
  <c r="J26" i="2"/>
  <c r="J12" i="2"/>
  <c r="J13" i="2"/>
  <c r="J14" i="2"/>
  <c r="J15" i="2"/>
  <c r="J16" i="2"/>
  <c r="J17" i="2"/>
  <c r="J18" i="2"/>
  <c r="J11" i="2"/>
  <c r="J10" i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W7" i="2"/>
  <c r="W6" i="2"/>
  <c r="W5" i="2"/>
  <c r="W4" i="2"/>
  <c r="V7" i="2"/>
  <c r="V6" i="2"/>
  <c r="V5" i="2"/>
  <c r="V4" i="2"/>
  <c r="U7" i="2"/>
  <c r="U6" i="2"/>
  <c r="U5" i="2"/>
  <c r="U4" i="2"/>
  <c r="T7" i="2"/>
  <c r="T6" i="2"/>
  <c r="T5" i="2"/>
  <c r="T4" i="2"/>
  <c r="S7" i="2"/>
  <c r="S6" i="2"/>
  <c r="S5" i="2"/>
  <c r="S4" i="2"/>
  <c r="R7" i="2"/>
  <c r="R6" i="2"/>
  <c r="R5" i="2"/>
  <c r="R4" i="2"/>
  <c r="Q7" i="2"/>
  <c r="Q6" i="2"/>
  <c r="Q5" i="2"/>
  <c r="Q4" i="2"/>
  <c r="P7" i="2"/>
  <c r="P6" i="2"/>
  <c r="P5" i="2"/>
  <c r="P4" i="2"/>
  <c r="O4" i="2"/>
  <c r="O7" i="2"/>
  <c r="O6" i="2"/>
  <c r="O5" i="2"/>
  <c r="N7" i="2"/>
  <c r="N6" i="2"/>
  <c r="N5" i="2"/>
  <c r="N4" i="2"/>
  <c r="M7" i="2"/>
  <c r="M6" i="2"/>
  <c r="M5" i="2"/>
  <c r="M4" i="2"/>
  <c r="L7" i="2"/>
  <c r="L6" i="2"/>
  <c r="L5" i="2"/>
  <c r="L4" i="2"/>
  <c r="K7" i="2"/>
  <c r="K6" i="2"/>
  <c r="K5" i="2"/>
  <c r="K4" i="2"/>
  <c r="J7" i="2"/>
  <c r="J6" i="2"/>
  <c r="J5" i="2"/>
  <c r="J4" i="2"/>
  <c r="I7" i="2"/>
  <c r="I6" i="2"/>
  <c r="I5" i="2"/>
  <c r="I4" i="2"/>
  <c r="H4" i="2"/>
  <c r="H5" i="2"/>
  <c r="H6" i="2"/>
  <c r="H7" i="2"/>
  <c r="S24" i="1"/>
  <c r="S25" i="1"/>
  <c r="S20" i="1"/>
  <c r="S21" i="1"/>
  <c r="S22" i="1"/>
  <c r="S23" i="1"/>
  <c r="S17" i="1"/>
  <c r="S18" i="1"/>
  <c r="S19" i="1"/>
  <c r="S11" i="1"/>
  <c r="S12" i="1"/>
  <c r="S13" i="1"/>
  <c r="S14" i="1"/>
  <c r="S15" i="1"/>
  <c r="S16" i="1"/>
  <c r="Q17" i="1"/>
  <c r="Q18" i="1"/>
  <c r="Q19" i="1"/>
  <c r="Q20" i="1"/>
  <c r="Q21" i="1"/>
  <c r="Q22" i="1"/>
  <c r="Q23" i="1"/>
  <c r="Q24" i="1"/>
  <c r="Q25" i="1"/>
  <c r="Q11" i="1"/>
  <c r="Q12" i="1"/>
  <c r="Q13" i="1"/>
  <c r="Q14" i="1"/>
  <c r="Q15" i="1"/>
  <c r="Q16" i="1"/>
  <c r="Q10" i="1"/>
  <c r="S10" i="1" s="1"/>
  <c r="J17" i="1"/>
  <c r="J18" i="1"/>
  <c r="J19" i="1"/>
  <c r="J20" i="1"/>
  <c r="J21" i="1"/>
  <c r="J22" i="1"/>
  <c r="J23" i="1"/>
  <c r="J24" i="1"/>
  <c r="J25" i="1"/>
  <c r="J11" i="1"/>
  <c r="J12" i="1"/>
  <c r="J13" i="1"/>
  <c r="J14" i="1"/>
  <c r="J15" i="1"/>
  <c r="J1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W6" i="1"/>
  <c r="W5" i="1"/>
  <c r="W4" i="1"/>
  <c r="W3" i="1"/>
  <c r="V6" i="1"/>
  <c r="V5" i="1"/>
  <c r="V4" i="1"/>
  <c r="V3" i="1"/>
  <c r="U6" i="1"/>
  <c r="U5" i="1"/>
  <c r="U4" i="1"/>
  <c r="U3" i="1"/>
  <c r="T6" i="1"/>
  <c r="T5" i="1"/>
  <c r="T4" i="1"/>
  <c r="T3" i="1"/>
  <c r="S6" i="1"/>
  <c r="S5" i="1"/>
  <c r="S4" i="1"/>
  <c r="S3" i="1"/>
  <c r="R5" i="1"/>
  <c r="R4" i="1"/>
  <c r="R3" i="1"/>
  <c r="Q6" i="1"/>
  <c r="Q5" i="1"/>
  <c r="Q4" i="1"/>
  <c r="Q3" i="1"/>
  <c r="P6" i="1"/>
  <c r="P5" i="1"/>
  <c r="P4" i="1"/>
  <c r="P3" i="1"/>
  <c r="O6" i="1"/>
  <c r="O5" i="1"/>
  <c r="O4" i="1"/>
  <c r="O3" i="1"/>
  <c r="N6" i="1"/>
  <c r="N5" i="1"/>
  <c r="N4" i="1"/>
  <c r="N3" i="1"/>
  <c r="M6" i="1"/>
  <c r="M5" i="1"/>
  <c r="M4" i="1"/>
  <c r="M3" i="1"/>
  <c r="L6" i="1"/>
  <c r="L5" i="1"/>
  <c r="L4" i="1"/>
  <c r="L3" i="1"/>
  <c r="K6" i="1"/>
  <c r="K5" i="1"/>
  <c r="K4" i="1"/>
  <c r="K3" i="1"/>
  <c r="J3" i="1"/>
  <c r="J6" i="1"/>
  <c r="J5" i="1"/>
  <c r="J4" i="1"/>
  <c r="I6" i="1"/>
  <c r="I5" i="1"/>
  <c r="I4" i="1"/>
  <c r="I3" i="1"/>
  <c r="H6" i="1"/>
  <c r="H5" i="1"/>
  <c r="H4" i="1"/>
  <c r="H3" i="1"/>
  <c r="C35" i="1"/>
  <c r="C36" i="1"/>
  <c r="C37" i="1"/>
  <c r="C38" i="1"/>
  <c r="C30" i="1"/>
  <c r="C31" i="1"/>
  <c r="C32" i="1"/>
  <c r="C33" i="1"/>
  <c r="C25" i="1"/>
  <c r="C26" i="1"/>
  <c r="C27" i="1"/>
  <c r="C28" i="1"/>
  <c r="C20" i="1"/>
  <c r="C21" i="1"/>
  <c r="C22" i="1"/>
  <c r="C23" i="1"/>
  <c r="C14" i="1"/>
  <c r="C15" i="1"/>
  <c r="C16" i="1"/>
  <c r="C17" i="1"/>
  <c r="C9" i="1"/>
  <c r="C10" i="1"/>
  <c r="C11" i="1"/>
  <c r="C12" i="1"/>
  <c r="E40" i="1"/>
  <c r="E39" i="1"/>
  <c r="S20" i="3" l="1"/>
  <c r="S19" i="3"/>
  <c r="S18" i="3"/>
</calcChain>
</file>

<file path=xl/sharedStrings.xml><?xml version="1.0" encoding="utf-8"?>
<sst xmlns="http://schemas.openxmlformats.org/spreadsheetml/2006/main" count="209" uniqueCount="53">
  <si>
    <t>raw FWHM</t>
    <phoneticPr fontId="1"/>
  </si>
  <si>
    <t>width</t>
  </si>
  <si>
    <t>y0</t>
  </si>
  <si>
    <t>A</t>
  </si>
  <si>
    <t>x0</t>
  </si>
  <si>
    <t>ｱ</t>
  </si>
  <si>
    <t>係数値</t>
  </si>
  <si>
    <t>±標準偏差</t>
  </si>
  <si>
    <t>*ModifyGraph</t>
  </si>
  <si>
    <t>sig_instruments</t>
    <phoneticPr fontId="1"/>
  </si>
  <si>
    <t>sigconvolutionに相当</t>
    <phoneticPr fontId="1"/>
  </si>
  <si>
    <t>求めたいsig_in</t>
    <phoneticPr fontId="1"/>
  </si>
  <si>
    <t>ひ</t>
    <phoneticPr fontId="1"/>
  </si>
  <si>
    <t>docombo FWHM</t>
    <phoneticPr fontId="1"/>
  </si>
  <si>
    <t>W_sigma={0.00217,0.00376,9.87e-14,1.73e-13}</t>
  </si>
  <si>
    <t>data</t>
    <phoneticPr fontId="1"/>
  </si>
  <si>
    <t>raw FWHM</t>
    <phoneticPr fontId="1"/>
  </si>
  <si>
    <t>docombo FWHM (ps)</t>
    <phoneticPr fontId="1"/>
  </si>
  <si>
    <t>sig_instruments(ps)</t>
    <phoneticPr fontId="1"/>
  </si>
  <si>
    <t>applied vltage</t>
    <phoneticPr fontId="1"/>
  </si>
  <si>
    <t>offset(fit_data106_y_Norm</t>
  </si>
  <si>
    <t>sig_instruments (ps)</t>
    <phoneticPr fontId="1"/>
  </si>
  <si>
    <t>Wave</t>
  </si>
  <si>
    <t>Name</t>
  </si>
  <si>
    <t>:</t>
  </si>
  <si>
    <t>lowHWHM,</t>
  </si>
  <si>
    <t>highHWHM</t>
  </si>
  <si>
    <t>data144_y</t>
  </si>
  <si>
    <t>data143_y</t>
  </si>
  <si>
    <t>data142_y</t>
  </si>
  <si>
    <t>data141_y</t>
  </si>
  <si>
    <t>data139_y</t>
  </si>
  <si>
    <t>data138_y</t>
  </si>
  <si>
    <t>data137_y</t>
  </si>
  <si>
    <t>data136_y</t>
  </si>
  <si>
    <t>data135_y</t>
  </si>
  <si>
    <t>data134_y</t>
  </si>
  <si>
    <t>data133_y</t>
  </si>
  <si>
    <t>data132_y</t>
  </si>
  <si>
    <t>data131_y</t>
  </si>
  <si>
    <t>applied_voltage</t>
    <phoneticPr fontId="1"/>
  </si>
  <si>
    <t>raw_FWHM</t>
    <phoneticPr fontId="1"/>
  </si>
  <si>
    <t>Xpeak</t>
    <phoneticPr fontId="1"/>
  </si>
  <si>
    <t>Ypeak</t>
    <phoneticPr fontId="1"/>
  </si>
  <si>
    <t>Speak</t>
    <phoneticPr fontId="1"/>
  </si>
  <si>
    <t>data140_y</t>
    <phoneticPr fontId="1"/>
  </si>
  <si>
    <t>-</t>
    <phoneticPr fontId="1"/>
  </si>
  <si>
    <t>L100_voltage</t>
    <phoneticPr fontId="1"/>
  </si>
  <si>
    <t>L200_deconvo</t>
    <phoneticPr fontId="1"/>
  </si>
  <si>
    <t>L200_voltage</t>
    <phoneticPr fontId="1"/>
  </si>
  <si>
    <t>L300_voltage</t>
    <phoneticPr fontId="1"/>
  </si>
  <si>
    <t>L300_deconvo</t>
    <phoneticPr fontId="1"/>
  </si>
  <si>
    <t>L100_deconvo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</si>
</sst>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1" fontId="0" fillId="0" borderId="0" xfId="0" applyNumberFormat="1" applyBorder="1">
      <alignment vertical="center"/>
    </xf>
    <xf numFmtId="11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1" fontId="0" fillId="0" borderId="7" xfId="0" applyNumberFormat="1" applyBorder="1">
      <alignment vertical="center"/>
    </xf>
    <xf numFmtId="11" fontId="0" fillId="0" borderId="8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'L200'!$I$11:$I$26</c:f>
              <c:numCache>
                <c:formatCode>General</c:formatCode>
                <c:ptCount val="16"/>
                <c:pt idx="0">
                  <c:v>9.1</c:v>
                </c:pt>
                <c:pt idx="1">
                  <c:v>10.8</c:v>
                </c:pt>
                <c:pt idx="2">
                  <c:v>12.6</c:v>
                </c:pt>
                <c:pt idx="3">
                  <c:v>14.4</c:v>
                </c:pt>
                <c:pt idx="4">
                  <c:v>16.100000000000001</c:v>
                </c:pt>
                <c:pt idx="5">
                  <c:v>17.8</c:v>
                </c:pt>
                <c:pt idx="6">
                  <c:v>19.399999999999999</c:v>
                </c:pt>
                <c:pt idx="7">
                  <c:v>21.1</c:v>
                </c:pt>
                <c:pt idx="8">
                  <c:v>23.1</c:v>
                </c:pt>
                <c:pt idx="9">
                  <c:v>24.2</c:v>
                </c:pt>
                <c:pt idx="10">
                  <c:v>25.7</c:v>
                </c:pt>
                <c:pt idx="11">
                  <c:v>27.2</c:v>
                </c:pt>
                <c:pt idx="12">
                  <c:v>28.6</c:v>
                </c:pt>
                <c:pt idx="13">
                  <c:v>30</c:v>
                </c:pt>
                <c:pt idx="14">
                  <c:v>31.3</c:v>
                </c:pt>
                <c:pt idx="15">
                  <c:v>32.6</c:v>
                </c:pt>
              </c:numCache>
            </c:numRef>
          </c:xVal>
          <c:yVal>
            <c:numRef>
              <c:f>'L200'!$S$11:$S$26</c:f>
              <c:numCache>
                <c:formatCode>General</c:formatCode>
                <c:ptCount val="16"/>
                <c:pt idx="0">
                  <c:v>75.048904332057575</c:v>
                </c:pt>
                <c:pt idx="1">
                  <c:v>73.864377101498931</c:v>
                </c:pt>
                <c:pt idx="2">
                  <c:v>78.122243080246491</c:v>
                </c:pt>
                <c:pt idx="3">
                  <c:v>81.793733537867752</c:v>
                </c:pt>
                <c:pt idx="4">
                  <c:v>86.055938913256469</c:v>
                </c:pt>
                <c:pt idx="5">
                  <c:v>90.702729386178703</c:v>
                </c:pt>
                <c:pt idx="6">
                  <c:v>96.261249582154718</c:v>
                </c:pt>
                <c:pt idx="7">
                  <c:v>103.44718414125312</c:v>
                </c:pt>
                <c:pt idx="8">
                  <c:v>108.50603214506427</c:v>
                </c:pt>
                <c:pt idx="9">
                  <c:v>114.23168412461962</c:v>
                </c:pt>
                <c:pt idx="10">
                  <c:v>129.13602748391187</c:v>
                </c:pt>
                <c:pt idx="11">
                  <c:v>139.74328630520108</c:v>
                </c:pt>
                <c:pt idx="12">
                  <c:v>136.40774343780555</c:v>
                </c:pt>
                <c:pt idx="13">
                  <c:v>140.89791798427663</c:v>
                </c:pt>
                <c:pt idx="14">
                  <c:v>147.87584693834958</c:v>
                </c:pt>
                <c:pt idx="15">
                  <c:v>158.82757677809079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3-4059-814F-BA6D7223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44448"/>
        <c:axId val="633245104"/>
      </c:scatterChart>
      <c:valAx>
        <c:axId val="6332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45104"/>
        <c:crosses val="autoZero"/>
        <c:crossBetween val="midCat"/>
      </c:valAx>
      <c:valAx>
        <c:axId val="6332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61912</xdr:colOff>
      <xdr:row>9</xdr:row>
      <xdr:rowOff>71437</xdr:rowOff>
    </xdr:from>
    <xdr:to>
      <xdr:col>26</xdr:col>
      <xdr:colOff>519112</xdr:colOff>
      <xdr:row>20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380EBD-6374-459D-BF87-2C2574244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674C-6AD7-4444-B64F-A1F8EC11BAEB}">
  <dimension ref="A1:W40"/>
  <sheetViews>
    <sheetView topLeftCell="G1" workbookViewId="0">
      <selection activeCell="I10" sqref="I10"/>
    </sheetView>
  </sheetViews>
  <sheetFormatPr defaultRowHeight="18.75" x14ac:dyDescent="0.4"/>
  <cols>
    <col min="10" max="10" width="14.625" bestFit="1" customWidth="1"/>
    <col min="17" max="17" width="12.75" bestFit="1" customWidth="1"/>
    <col min="19" max="19" width="9.5" bestFit="1" customWidth="1"/>
  </cols>
  <sheetData>
    <row r="1" spans="2:23" x14ac:dyDescent="0.4">
      <c r="G1" t="s">
        <v>15</v>
      </c>
      <c r="H1">
        <v>111</v>
      </c>
      <c r="I1">
        <v>112</v>
      </c>
      <c r="J1">
        <v>113</v>
      </c>
      <c r="K1">
        <v>114</v>
      </c>
      <c r="L1">
        <v>115</v>
      </c>
      <c r="M1">
        <v>116</v>
      </c>
      <c r="N1">
        <v>117</v>
      </c>
      <c r="O1">
        <v>118</v>
      </c>
      <c r="P1">
        <v>119</v>
      </c>
      <c r="Q1">
        <v>120</v>
      </c>
      <c r="R1">
        <v>121</v>
      </c>
      <c r="S1">
        <v>122</v>
      </c>
      <c r="T1">
        <v>123</v>
      </c>
      <c r="U1">
        <v>124</v>
      </c>
      <c r="V1">
        <v>125</v>
      </c>
      <c r="W1">
        <v>126</v>
      </c>
    </row>
    <row r="2" spans="2:23" x14ac:dyDescent="0.4">
      <c r="H2">
        <v>32.6</v>
      </c>
      <c r="I2">
        <v>31.3</v>
      </c>
      <c r="J2">
        <v>30</v>
      </c>
      <c r="K2">
        <v>28.6</v>
      </c>
      <c r="L2">
        <v>27.2</v>
      </c>
      <c r="M2">
        <v>25.7</v>
      </c>
      <c r="N2">
        <v>24.2</v>
      </c>
      <c r="O2">
        <v>23.1</v>
      </c>
      <c r="P2">
        <v>21.1</v>
      </c>
      <c r="Q2">
        <v>19.399999999999999</v>
      </c>
      <c r="R2">
        <v>17.8</v>
      </c>
      <c r="S2">
        <v>16.100000000000001</v>
      </c>
      <c r="T2">
        <v>14.4</v>
      </c>
      <c r="U2">
        <v>12.6</v>
      </c>
      <c r="V2">
        <v>10.8</v>
      </c>
      <c r="W2">
        <v>9.1</v>
      </c>
    </row>
    <row r="3" spans="2:23" x14ac:dyDescent="0.4">
      <c r="G3" t="s">
        <v>2</v>
      </c>
      <c r="H3">
        <f>0.035863</f>
        <v>3.5862999999999999E-2</v>
      </c>
      <c r="I3">
        <f>0.027206</f>
        <v>2.7206000000000001E-2</v>
      </c>
      <c r="J3">
        <f>0.026307</f>
        <v>2.6307000000000001E-2</v>
      </c>
      <c r="K3">
        <f>0.016999</f>
        <v>1.6999E-2</v>
      </c>
      <c r="L3">
        <f>0.018785</f>
        <v>1.8785E-2</v>
      </c>
      <c r="M3">
        <f>0.008574</f>
        <v>8.574E-3</v>
      </c>
      <c r="N3">
        <f>-0.0014769</f>
        <v>-1.4769E-3</v>
      </c>
      <c r="O3">
        <f>0.014112</f>
        <v>1.4112E-2</v>
      </c>
      <c r="P3">
        <f>0.0034084</f>
        <v>3.4083999999999998E-3</v>
      </c>
      <c r="Q3">
        <f>0.00005904</f>
        <v>5.9039999999999997E-5</v>
      </c>
      <c r="R3">
        <f>0.0060696</f>
        <v>6.0695999999999996E-3</v>
      </c>
      <c r="S3">
        <f>0.0054362</f>
        <v>5.4362000000000004E-3</v>
      </c>
      <c r="T3">
        <f>0.011564</f>
        <v>1.1564E-2</v>
      </c>
      <c r="U3">
        <f>0.015896</f>
        <v>1.5896E-2</v>
      </c>
      <c r="V3">
        <f>0.025645</f>
        <v>2.5645000000000001E-2</v>
      </c>
      <c r="W3">
        <f>0.043489</f>
        <v>4.3489E-2</v>
      </c>
    </row>
    <row r="4" spans="2:23" x14ac:dyDescent="0.4">
      <c r="G4" t="s">
        <v>3</v>
      </c>
      <c r="H4">
        <f>0.94037</f>
        <v>0.94037000000000004</v>
      </c>
      <c r="I4">
        <f>0.94828</f>
        <v>0.94828000000000001</v>
      </c>
      <c r="J4">
        <f>0.95216</f>
        <v>0.95216000000000001</v>
      </c>
      <c r="K4">
        <f>0.97307</f>
        <v>0.97306999999999999</v>
      </c>
      <c r="L4">
        <f>0.96944</f>
        <v>0.96943999999999997</v>
      </c>
      <c r="M4">
        <f>0.98822</f>
        <v>0.98821999999999999</v>
      </c>
      <c r="N4">
        <f>0.98754</f>
        <v>0.98753999999999997</v>
      </c>
      <c r="O4">
        <f>0.98028</f>
        <v>0.98028000000000004</v>
      </c>
      <c r="P4">
        <f>0.99207</f>
        <v>0.99207000000000001</v>
      </c>
      <c r="Q4">
        <f>1.0008</f>
        <v>1.0007999999999999</v>
      </c>
      <c r="R4">
        <f>0.99785</f>
        <v>0.99785000000000001</v>
      </c>
      <c r="S4">
        <f>1.0018</f>
        <v>1.0018</v>
      </c>
      <c r="T4">
        <f>0.97921</f>
        <v>0.97921000000000002</v>
      </c>
      <c r="U4">
        <f>0.9672</f>
        <v>0.96719999999999995</v>
      </c>
      <c r="V4">
        <f>0.95539</f>
        <v>0.95538999999999996</v>
      </c>
      <c r="W4">
        <f>0.93335</f>
        <v>0.93335000000000001</v>
      </c>
    </row>
    <row r="5" spans="2:23" x14ac:dyDescent="0.4">
      <c r="G5" t="s">
        <v>4</v>
      </c>
      <c r="H5">
        <f>0.00000000026298</f>
        <v>2.6298000000000001E-10</v>
      </c>
      <c r="I5">
        <f>0.00000000026636</f>
        <v>2.6636E-10</v>
      </c>
      <c r="J5">
        <f>0.00000000025928</f>
        <v>2.5928000000000001E-10</v>
      </c>
      <c r="K5">
        <f>0.00000000025983</f>
        <v>2.5983000000000002E-10</v>
      </c>
      <c r="L5">
        <f>0.00000000025519</f>
        <v>2.5519000000000003E-10</v>
      </c>
      <c r="M5">
        <f>0.00000000025409</f>
        <v>2.5409E-10</v>
      </c>
      <c r="N5">
        <f>0.00000000024426</f>
        <v>2.4425999999999999E-10</v>
      </c>
      <c r="O5">
        <f>0.00000000024937</f>
        <v>2.4936999999999999E-10</v>
      </c>
      <c r="P5">
        <f>0.00000000024045</f>
        <v>2.4044999999999998E-10</v>
      </c>
      <c r="Q5">
        <f>0.00000000023971</f>
        <v>2.3970999999999999E-10</v>
      </c>
      <c r="R5">
        <f>0.00000000024222</f>
        <v>2.4222000000000002E-10</v>
      </c>
      <c r="S5">
        <f>0.00000000024282</f>
        <v>2.4281999999999999E-10</v>
      </c>
      <c r="T5">
        <f>0.00000000025146</f>
        <v>2.5145999999999998E-10</v>
      </c>
      <c r="U5">
        <f>0.00000000026039</f>
        <v>2.6039000000000002E-10</v>
      </c>
      <c r="V5">
        <f>0.00000000027073</f>
        <v>2.7073E-10</v>
      </c>
      <c r="W5">
        <f>0.00000000030607</f>
        <v>3.0607000000000001E-10</v>
      </c>
    </row>
    <row r="6" spans="2:23" x14ac:dyDescent="0.4">
      <c r="G6" t="s">
        <v>1</v>
      </c>
      <c r="H6">
        <f>0.000000000037714</f>
        <v>3.7714E-11</v>
      </c>
      <c r="I6">
        <f>0.000000000034423</f>
        <v>3.4423000000000002E-11</v>
      </c>
      <c r="J6">
        <f>0.00000000003429</f>
        <v>3.4289999999999999E-11</v>
      </c>
      <c r="K6">
        <f>0.000000000035414</f>
        <v>3.5413999999999999E-11</v>
      </c>
      <c r="L6">
        <f>0.000000000037554</f>
        <v>3.7553999999999998E-11</v>
      </c>
      <c r="M6">
        <f>0.000000000039079</f>
        <v>3.9079E-11</v>
      </c>
      <c r="N6">
        <f>0.000000000037903</f>
        <v>3.7903E-11</v>
      </c>
      <c r="O6">
        <f>0.000000000038259</f>
        <v>3.8258999999999997E-11</v>
      </c>
      <c r="P6">
        <f>0.000000000039301</f>
        <v>3.9300999999999998E-11</v>
      </c>
      <c r="Q6">
        <f>0.000000000043645</f>
        <v>4.3645000000000002E-11</v>
      </c>
      <c r="S6">
        <f>0.000000000046534</f>
        <v>4.6534000000000002E-11</v>
      </c>
      <c r="T6">
        <f>0.000000000049374</f>
        <v>4.9374000000000002E-11</v>
      </c>
      <c r="U6">
        <f>0.000000000049904</f>
        <v>4.9903999999999999E-11</v>
      </c>
      <c r="V6">
        <f>0.000000000052101</f>
        <v>5.2101000000000002E-11</v>
      </c>
      <c r="W6">
        <f>0.00000000006015</f>
        <v>6.0149999999999994E-11</v>
      </c>
    </row>
    <row r="8" spans="2:23" x14ac:dyDescent="0.4">
      <c r="B8" t="s">
        <v>6</v>
      </c>
      <c r="C8" t="s">
        <v>7</v>
      </c>
      <c r="G8" s="1"/>
      <c r="O8" t="s">
        <v>10</v>
      </c>
    </row>
    <row r="9" spans="2:23" x14ac:dyDescent="0.4">
      <c r="B9" t="s">
        <v>2</v>
      </c>
      <c r="C9">
        <f>0.038274</f>
        <v>3.8274000000000002E-2</v>
      </c>
      <c r="D9" t="s">
        <v>5</v>
      </c>
      <c r="E9">
        <v>2.4199999999999998E-3</v>
      </c>
      <c r="G9" s="1"/>
      <c r="I9" t="s">
        <v>47</v>
      </c>
      <c r="J9" t="s">
        <v>11</v>
      </c>
      <c r="K9" t="s">
        <v>18</v>
      </c>
      <c r="L9" t="s">
        <v>2</v>
      </c>
      <c r="M9" t="s">
        <v>3</v>
      </c>
      <c r="N9" t="s">
        <v>4</v>
      </c>
      <c r="O9" t="s">
        <v>1</v>
      </c>
      <c r="Q9" t="s">
        <v>12</v>
      </c>
      <c r="R9" t="s">
        <v>16</v>
      </c>
      <c r="S9" t="s">
        <v>17</v>
      </c>
    </row>
    <row r="10" spans="2:23" x14ac:dyDescent="0.4">
      <c r="B10" t="s">
        <v>3</v>
      </c>
      <c r="C10">
        <f>0.93796</f>
        <v>0.93796000000000002</v>
      </c>
      <c r="D10" t="s">
        <v>5</v>
      </c>
      <c r="E10">
        <v>4.0400000000000002E-3</v>
      </c>
      <c r="I10">
        <v>32.6</v>
      </c>
      <c r="J10">
        <f>SQRT((O10*10^12)^2-K10^2)</f>
        <v>36.418481516944112</v>
      </c>
      <c r="K10">
        <v>9.8000000000000007</v>
      </c>
      <c r="L10">
        <f>0.035863</f>
        <v>3.5862999999999999E-2</v>
      </c>
      <c r="M10">
        <f>0.94037</f>
        <v>0.94037000000000004</v>
      </c>
      <c r="N10">
        <f>0.00000000026298</f>
        <v>2.6298000000000001E-10</v>
      </c>
      <c r="O10">
        <f>0.000000000037714</f>
        <v>3.7714E-11</v>
      </c>
      <c r="Q10">
        <f>O10*10^12/J10</f>
        <v>1.0355731054424422</v>
      </c>
      <c r="R10" s="1">
        <v>9.9299999999999996E-11</v>
      </c>
      <c r="S10" s="1">
        <f>R10*10^12/Q10</f>
        <v>95.888932879900054</v>
      </c>
    </row>
    <row r="11" spans="2:23" x14ac:dyDescent="0.4">
      <c r="B11" t="s">
        <v>4</v>
      </c>
      <c r="C11">
        <f>0.000000000263</f>
        <v>2.6300000000000002E-10</v>
      </c>
      <c r="D11" t="s">
        <v>5</v>
      </c>
      <c r="E11" s="1">
        <v>1.19E-13</v>
      </c>
      <c r="I11">
        <v>31.3</v>
      </c>
      <c r="J11">
        <f t="shared" ref="J11:J25" si="0">SQRT((O11*10^12)^2-K11^2)</f>
        <v>32.99852919449593</v>
      </c>
      <c r="K11">
        <v>9.8000000000000007</v>
      </c>
      <c r="L11">
        <f>0.027206</f>
        <v>2.7206000000000001E-2</v>
      </c>
      <c r="M11">
        <f>0.94828</f>
        <v>0.94828000000000001</v>
      </c>
      <c r="N11">
        <f>0.00000000026636</f>
        <v>2.6636E-10</v>
      </c>
      <c r="O11">
        <f>0.000000000034423</f>
        <v>3.4423000000000002E-11</v>
      </c>
      <c r="Q11">
        <f t="shared" ref="Q11:Q25" si="1">O11*10^12/J11</f>
        <v>1.0431677059637454</v>
      </c>
      <c r="R11" s="1">
        <v>8.5899999999999995E-11</v>
      </c>
      <c r="S11" s="1">
        <f t="shared" ref="S11:S25" si="2">R11*10^12/Q11</f>
        <v>82.345340551584698</v>
      </c>
    </row>
    <row r="12" spans="2:23" x14ac:dyDescent="0.4">
      <c r="B12" t="s">
        <v>1</v>
      </c>
      <c r="C12">
        <f>0.000000000037643</f>
        <v>3.7642999999999999E-11</v>
      </c>
      <c r="D12" t="s">
        <v>5</v>
      </c>
      <c r="E12" s="1">
        <v>2.14E-13</v>
      </c>
      <c r="G12" s="1"/>
      <c r="I12">
        <v>30</v>
      </c>
      <c r="J12">
        <f t="shared" si="0"/>
        <v>32.859764150097</v>
      </c>
      <c r="K12">
        <v>9.8000000000000007</v>
      </c>
      <c r="L12">
        <f>0.026307</f>
        <v>2.6307000000000001E-2</v>
      </c>
      <c r="M12">
        <f>0.95216</f>
        <v>0.95216000000000001</v>
      </c>
      <c r="N12">
        <f>0.00000000025928</f>
        <v>2.5928000000000001E-10</v>
      </c>
      <c r="O12">
        <f>0.00000000003429</f>
        <v>3.4289999999999999E-11</v>
      </c>
      <c r="Q12">
        <f t="shared" si="1"/>
        <v>1.0435254447770823</v>
      </c>
      <c r="R12" s="1">
        <v>8.1800000000000004E-11</v>
      </c>
      <c r="S12" s="1">
        <f t="shared" si="2"/>
        <v>78.388122119508168</v>
      </c>
    </row>
    <row r="13" spans="2:23" x14ac:dyDescent="0.4">
      <c r="B13" t="s">
        <v>6</v>
      </c>
      <c r="C13" t="s">
        <v>7</v>
      </c>
      <c r="G13" s="1"/>
      <c r="I13">
        <v>28.6</v>
      </c>
      <c r="J13">
        <f t="shared" si="0"/>
        <v>34.031035776185249</v>
      </c>
      <c r="K13">
        <v>9.8000000000000007</v>
      </c>
      <c r="L13">
        <f>0.016999</f>
        <v>1.6999E-2</v>
      </c>
      <c r="M13">
        <f>0.97307</f>
        <v>0.97306999999999999</v>
      </c>
      <c r="N13">
        <f>0.00000000025983</f>
        <v>2.5983000000000002E-10</v>
      </c>
      <c r="O13">
        <f>0.000000000035414</f>
        <v>3.5413999999999999E-11</v>
      </c>
      <c r="Q13">
        <f t="shared" si="1"/>
        <v>1.0406383229975782</v>
      </c>
      <c r="R13" s="1">
        <v>8.0700000000000003E-11</v>
      </c>
      <c r="S13" s="1">
        <f t="shared" si="2"/>
        <v>77.548556704640802</v>
      </c>
    </row>
    <row r="14" spans="2:23" x14ac:dyDescent="0.4">
      <c r="B14" t="s">
        <v>2</v>
      </c>
      <c r="C14">
        <f>0.021881</f>
        <v>2.1881000000000001E-2</v>
      </c>
      <c r="D14" t="s">
        <v>5</v>
      </c>
      <c r="E14">
        <v>1.8799999999999999E-3</v>
      </c>
      <c r="I14">
        <v>27.2</v>
      </c>
      <c r="J14">
        <f t="shared" si="0"/>
        <v>36.25276425322626</v>
      </c>
      <c r="K14">
        <v>9.8000000000000007</v>
      </c>
      <c r="L14">
        <f>0.018785</f>
        <v>1.8785E-2</v>
      </c>
      <c r="M14">
        <f>0.96944</f>
        <v>0.96943999999999997</v>
      </c>
      <c r="N14">
        <f>0.00000000025519</f>
        <v>2.5519000000000003E-10</v>
      </c>
      <c r="O14">
        <f>0.000000000037554</f>
        <v>3.7553999999999998E-11</v>
      </c>
      <c r="Q14">
        <f t="shared" si="1"/>
        <v>1.035893421469452</v>
      </c>
      <c r="R14" s="1">
        <v>8.01E-11</v>
      </c>
      <c r="S14" s="1">
        <f t="shared" si="2"/>
        <v>77.324557082692223</v>
      </c>
    </row>
    <row r="15" spans="2:23" x14ac:dyDescent="0.4">
      <c r="B15" t="s">
        <v>3</v>
      </c>
      <c r="C15">
        <f>0.95471</f>
        <v>0.95470999999999995</v>
      </c>
      <c r="D15" t="s">
        <v>5</v>
      </c>
      <c r="E15">
        <v>3.3700000000000002E-3</v>
      </c>
      <c r="I15">
        <v>25.7</v>
      </c>
      <c r="J15">
        <f t="shared" si="0"/>
        <v>37.830255629588336</v>
      </c>
      <c r="K15">
        <v>9.8000000000000007</v>
      </c>
      <c r="L15">
        <f>0.008574</f>
        <v>8.574E-3</v>
      </c>
      <c r="M15">
        <f>0.98822</f>
        <v>0.98821999999999999</v>
      </c>
      <c r="N15">
        <f>0.00000000025409</f>
        <v>2.5409E-10</v>
      </c>
      <c r="O15">
        <f>0.000000000039079</f>
        <v>3.9079E-11</v>
      </c>
      <c r="Q15">
        <f t="shared" si="1"/>
        <v>1.0330091443906337</v>
      </c>
      <c r="R15" s="1">
        <v>7.42E-11</v>
      </c>
      <c r="S15" s="1">
        <f t="shared" si="2"/>
        <v>71.828986609571757</v>
      </c>
    </row>
    <row r="16" spans="2:23" x14ac:dyDescent="0.4">
      <c r="B16" t="s">
        <v>4</v>
      </c>
      <c r="C16">
        <f>0.00000000026627</f>
        <v>2.6627E-10</v>
      </c>
      <c r="D16" t="s">
        <v>5</v>
      </c>
      <c r="E16" s="1">
        <v>8.9200000000000001E-14</v>
      </c>
      <c r="I16">
        <v>24.2</v>
      </c>
      <c r="J16">
        <f t="shared" si="0"/>
        <v>36.614169511269814</v>
      </c>
      <c r="K16">
        <v>9.8000000000000007</v>
      </c>
      <c r="L16">
        <f>-0.0014769</f>
        <v>-1.4769E-3</v>
      </c>
      <c r="M16">
        <f>0.98754</f>
        <v>0.98753999999999997</v>
      </c>
      <c r="N16">
        <f>0.00000000024426</f>
        <v>2.4425999999999999E-10</v>
      </c>
      <c r="O16">
        <f>0.000000000037903</f>
        <v>3.7903E-11</v>
      </c>
      <c r="Q16">
        <f t="shared" si="1"/>
        <v>1.0352003201474631</v>
      </c>
      <c r="R16" s="1">
        <v>7.3000000000000006E-11</v>
      </c>
      <c r="S16" s="1">
        <f t="shared" si="2"/>
        <v>70.517752534699014</v>
      </c>
    </row>
    <row r="17" spans="2:19" x14ac:dyDescent="0.4">
      <c r="B17" t="s">
        <v>1</v>
      </c>
      <c r="C17">
        <f>0.000000000034445</f>
        <v>3.4444999999999997E-11</v>
      </c>
      <c r="D17" t="s">
        <v>5</v>
      </c>
      <c r="E17" s="1">
        <v>1.55E-13</v>
      </c>
      <c r="I17">
        <v>23.1</v>
      </c>
      <c r="J17">
        <f t="shared" si="0"/>
        <v>36.982578074006689</v>
      </c>
      <c r="K17">
        <v>9.8000000000000007</v>
      </c>
      <c r="L17">
        <f>0.014112</f>
        <v>1.4112E-2</v>
      </c>
      <c r="M17">
        <f>0.98028</f>
        <v>0.98028000000000004</v>
      </c>
      <c r="N17">
        <f>0.00000000024937</f>
        <v>2.4936999999999999E-10</v>
      </c>
      <c r="O17">
        <f>0.000000000038259</f>
        <v>3.8258999999999997E-11</v>
      </c>
      <c r="Q17">
        <f t="shared" si="1"/>
        <v>1.0345141413191647</v>
      </c>
      <c r="R17" s="1">
        <v>6.5400000000000002E-11</v>
      </c>
      <c r="S17" s="1">
        <f>R17*10^12/Q17</f>
        <v>63.218082177789221</v>
      </c>
    </row>
    <row r="18" spans="2:19" x14ac:dyDescent="0.4">
      <c r="B18" t="s">
        <v>14</v>
      </c>
      <c r="G18" s="1"/>
      <c r="I18">
        <v>21.1</v>
      </c>
      <c r="J18">
        <f t="shared" si="0"/>
        <v>38.059540210044574</v>
      </c>
      <c r="K18">
        <v>9.8000000000000007</v>
      </c>
      <c r="L18">
        <f>0.0034084</f>
        <v>3.4083999999999998E-3</v>
      </c>
      <c r="M18">
        <f>0.99207</f>
        <v>0.99207000000000001</v>
      </c>
      <c r="N18">
        <f>0.00000000024045</f>
        <v>2.4044999999999998E-10</v>
      </c>
      <c r="O18">
        <f>0.000000000039301</f>
        <v>3.9300999999999998E-11</v>
      </c>
      <c r="Q18">
        <f t="shared" si="1"/>
        <v>1.0326188856487493</v>
      </c>
      <c r="R18" s="1">
        <v>6.4100000000000004E-11</v>
      </c>
      <c r="S18" s="1">
        <f t="shared" si="2"/>
        <v>62.075176902975954</v>
      </c>
    </row>
    <row r="19" spans="2:19" x14ac:dyDescent="0.4">
      <c r="B19" t="s">
        <v>6</v>
      </c>
      <c r="C19" t="s">
        <v>7</v>
      </c>
      <c r="G19" s="1" t="s">
        <v>6</v>
      </c>
      <c r="H19" t="s">
        <v>7</v>
      </c>
      <c r="I19">
        <v>19.399999999999999</v>
      </c>
      <c r="J19">
        <f t="shared" si="0"/>
        <v>42.530530504568134</v>
      </c>
      <c r="K19">
        <v>9.8000000000000007</v>
      </c>
      <c r="L19">
        <f>0.00005904</f>
        <v>5.9039999999999997E-5</v>
      </c>
      <c r="M19">
        <f>1.0008</f>
        <v>1.0007999999999999</v>
      </c>
      <c r="N19">
        <f>0.00000000023971</f>
        <v>2.3970999999999999E-10</v>
      </c>
      <c r="O19">
        <f>0.000000000043645</f>
        <v>4.3645000000000002E-11</v>
      </c>
      <c r="Q19">
        <f t="shared" si="1"/>
        <v>1.0262039876345339</v>
      </c>
      <c r="R19" s="1">
        <v>6.2000000000000006E-11</v>
      </c>
      <c r="S19" s="1">
        <f t="shared" si="2"/>
        <v>60.416837926067693</v>
      </c>
    </row>
    <row r="20" spans="2:19" x14ac:dyDescent="0.4">
      <c r="B20" t="s">
        <v>2</v>
      </c>
      <c r="C20">
        <f>0.021583</f>
        <v>2.1583000000000001E-2</v>
      </c>
      <c r="D20" t="s">
        <v>5</v>
      </c>
      <c r="E20">
        <v>2.1700000000000001E-3</v>
      </c>
      <c r="H20" t="s">
        <v>2</v>
      </c>
      <c r="I20">
        <v>17.8</v>
      </c>
      <c r="J20">
        <f t="shared" si="0"/>
        <v>42.901935259379613</v>
      </c>
      <c r="K20">
        <v>9.8000000000000007</v>
      </c>
      <c r="L20">
        <f>0.0060696</f>
        <v>6.0695999999999996E-3</v>
      </c>
      <c r="M20">
        <f>0.99785</f>
        <v>0.99785000000000001</v>
      </c>
      <c r="N20">
        <f>0.00000000024222</f>
        <v>2.4222000000000002E-10</v>
      </c>
      <c r="O20">
        <f>0.000000000044007</f>
        <v>4.4006999999999999E-11</v>
      </c>
      <c r="Q20">
        <f t="shared" si="1"/>
        <v>1.0257579228987994</v>
      </c>
      <c r="R20" s="1">
        <v>6.5599999999999998E-11</v>
      </c>
      <c r="S20" s="1">
        <f>R20*10^12/Q20</f>
        <v>63.952711000870373</v>
      </c>
    </row>
    <row r="21" spans="2:19" x14ac:dyDescent="0.4">
      <c r="B21" t="s">
        <v>3</v>
      </c>
      <c r="C21">
        <f>0.95731</f>
        <v>0.95730999999999999</v>
      </c>
      <c r="D21" t="s">
        <v>5</v>
      </c>
      <c r="E21">
        <v>3.7599999999999999E-3</v>
      </c>
      <c r="H21" t="s">
        <v>3</v>
      </c>
      <c r="I21">
        <v>16.100000000000001</v>
      </c>
      <c r="J21">
        <f t="shared" si="0"/>
        <v>45.490363331149602</v>
      </c>
      <c r="K21">
        <v>9.8000000000000007</v>
      </c>
      <c r="L21">
        <f>0.0054362</f>
        <v>5.4362000000000004E-3</v>
      </c>
      <c r="M21">
        <f>1.0018</f>
        <v>1.0018</v>
      </c>
      <c r="N21">
        <f>0.00000000024282</f>
        <v>2.4281999999999999E-10</v>
      </c>
      <c r="O21">
        <f>0.000000000046534</f>
        <v>4.6534000000000002E-11</v>
      </c>
      <c r="Q21">
        <f t="shared" si="1"/>
        <v>1.0229419286289974</v>
      </c>
      <c r="R21" s="1">
        <v>6.2500000000000004E-11</v>
      </c>
      <c r="S21" s="1">
        <f t="shared" si="2"/>
        <v>61.098287449968858</v>
      </c>
    </row>
    <row r="22" spans="2:19" x14ac:dyDescent="0.4">
      <c r="B22" t="s">
        <v>4</v>
      </c>
      <c r="C22">
        <f>0.00000000025923</f>
        <v>2.5922999999999999E-10</v>
      </c>
      <c r="D22" t="s">
        <v>5</v>
      </c>
      <c r="E22" s="1">
        <v>9.8699999999999998E-14</v>
      </c>
      <c r="H22" t="s">
        <v>4</v>
      </c>
      <c r="I22">
        <v>14.4</v>
      </c>
      <c r="J22">
        <f t="shared" si="0"/>
        <v>48.391650891450276</v>
      </c>
      <c r="K22">
        <v>9.8000000000000007</v>
      </c>
      <c r="L22">
        <f>0.011564</f>
        <v>1.1564E-2</v>
      </c>
      <c r="M22">
        <f>0.97921</f>
        <v>0.97921000000000002</v>
      </c>
      <c r="N22">
        <f>0.00000000025146</f>
        <v>2.5145999999999998E-10</v>
      </c>
      <c r="O22">
        <f>0.000000000049374</f>
        <v>4.9374000000000002E-11</v>
      </c>
      <c r="Q22">
        <f t="shared" si="1"/>
        <v>1.020299970975433</v>
      </c>
      <c r="R22" s="1">
        <v>5.9099999999999995E-11</v>
      </c>
      <c r="S22" s="1">
        <f t="shared" si="2"/>
        <v>57.924141606608963</v>
      </c>
    </row>
    <row r="23" spans="2:19" x14ac:dyDescent="0.4">
      <c r="B23" t="s">
        <v>1</v>
      </c>
      <c r="C23">
        <f>0.000000000034369</f>
        <v>3.4368999999999998E-11</v>
      </c>
      <c r="D23" t="s">
        <v>5</v>
      </c>
      <c r="E23" s="1">
        <v>1.7299999999999999E-13</v>
      </c>
      <c r="G23" s="1"/>
      <c r="H23" t="s">
        <v>1</v>
      </c>
      <c r="I23">
        <v>12.6</v>
      </c>
      <c r="J23">
        <f t="shared" si="0"/>
        <v>48.932292159677125</v>
      </c>
      <c r="K23">
        <v>9.8000000000000007</v>
      </c>
      <c r="L23">
        <f>0.015896</f>
        <v>1.5896E-2</v>
      </c>
      <c r="M23">
        <f>0.9672</f>
        <v>0.96719999999999995</v>
      </c>
      <c r="N23">
        <f>0.00000000026039</f>
        <v>2.6039000000000002E-10</v>
      </c>
      <c r="O23">
        <f>0.000000000049904</f>
        <v>4.9903999999999999E-11</v>
      </c>
      <c r="Q23">
        <f t="shared" si="1"/>
        <v>1.019858212183316</v>
      </c>
      <c r="R23" s="1">
        <v>5.5900000000000002E-11</v>
      </c>
      <c r="S23" s="1">
        <f t="shared" si="2"/>
        <v>54.811540792841278</v>
      </c>
    </row>
    <row r="24" spans="2:19" x14ac:dyDescent="0.4">
      <c r="B24" t="s">
        <v>6</v>
      </c>
      <c r="C24" t="s">
        <v>7</v>
      </c>
      <c r="G24" s="1"/>
      <c r="I24">
        <v>10.8</v>
      </c>
      <c r="J24">
        <f t="shared" si="0"/>
        <v>51.171028922623783</v>
      </c>
      <c r="K24">
        <v>9.8000000000000007</v>
      </c>
      <c r="L24">
        <f>0.025645</f>
        <v>2.5645000000000001E-2</v>
      </c>
      <c r="M24">
        <f>0.95539</f>
        <v>0.95538999999999996</v>
      </c>
      <c r="N24">
        <f>0.00000000027073</f>
        <v>2.7073E-10</v>
      </c>
      <c r="O24">
        <f>0.000000000052101</f>
        <v>5.2101000000000002E-11</v>
      </c>
      <c r="Q24">
        <f t="shared" si="1"/>
        <v>1.0181737810819171</v>
      </c>
      <c r="R24" s="1">
        <v>5.68E-11</v>
      </c>
      <c r="S24" s="1">
        <f>R24*10^12/Q24</f>
        <v>55.786154638203314</v>
      </c>
    </row>
    <row r="25" spans="2:19" x14ac:dyDescent="0.4">
      <c r="B25" t="s">
        <v>2</v>
      </c>
      <c r="C25">
        <f>0.019309</f>
        <v>1.9309E-2</v>
      </c>
      <c r="D25" t="s">
        <v>5</v>
      </c>
      <c r="E25">
        <v>2.6900000000000001E-3</v>
      </c>
      <c r="I25">
        <v>9.1</v>
      </c>
      <c r="J25">
        <f t="shared" si="0"/>
        <v>59.346293060308319</v>
      </c>
      <c r="K25">
        <v>9.8000000000000007</v>
      </c>
      <c r="L25">
        <f>0.043489</f>
        <v>4.3489E-2</v>
      </c>
      <c r="M25">
        <f>0.93335</f>
        <v>0.93335000000000001</v>
      </c>
      <c r="N25">
        <f>0.00000000030607</f>
        <v>3.0607000000000001E-10</v>
      </c>
      <c r="O25">
        <f>0.00000000006015</f>
        <v>6.0149999999999994E-11</v>
      </c>
      <c r="Q25">
        <f t="shared" si="1"/>
        <v>1.0135426645582553</v>
      </c>
      <c r="R25" s="1">
        <v>6.0400000000000006E-11</v>
      </c>
      <c r="S25" s="1">
        <f t="shared" si="2"/>
        <v>59.59295263246257</v>
      </c>
    </row>
    <row r="26" spans="2:19" x14ac:dyDescent="0.4">
      <c r="B26" t="s">
        <v>3</v>
      </c>
      <c r="C26">
        <f>0.96821</f>
        <v>0.96821000000000002</v>
      </c>
      <c r="D26" t="s">
        <v>5</v>
      </c>
      <c r="E26">
        <v>4.2199999999999998E-3</v>
      </c>
    </row>
    <row r="27" spans="2:19" x14ac:dyDescent="0.4">
      <c r="B27" t="s">
        <v>4</v>
      </c>
      <c r="C27">
        <f>0.00000000025994</f>
        <v>2.5993999999999998E-10</v>
      </c>
      <c r="D27" t="s">
        <v>5</v>
      </c>
      <c r="E27" s="1">
        <v>1.1E-13</v>
      </c>
    </row>
    <row r="28" spans="2:19" x14ac:dyDescent="0.4">
      <c r="B28" t="s">
        <v>1</v>
      </c>
      <c r="C28">
        <f>0.000000000035602</f>
        <v>3.5602000000000003E-11</v>
      </c>
      <c r="D28" t="s">
        <v>5</v>
      </c>
      <c r="E28" s="1">
        <v>2.02E-13</v>
      </c>
      <c r="G28" s="1"/>
    </row>
    <row r="29" spans="2:19" x14ac:dyDescent="0.4">
      <c r="B29" t="s">
        <v>6</v>
      </c>
      <c r="C29" t="s">
        <v>7</v>
      </c>
    </row>
    <row r="30" spans="2:19" x14ac:dyDescent="0.4">
      <c r="B30" t="s">
        <v>2</v>
      </c>
      <c r="C30">
        <f>0.027975</f>
        <v>2.7975E-2</v>
      </c>
      <c r="D30" t="s">
        <v>5</v>
      </c>
      <c r="E30">
        <v>2.63E-3</v>
      </c>
    </row>
    <row r="31" spans="2:19" x14ac:dyDescent="0.4">
      <c r="B31" t="s">
        <v>3</v>
      </c>
      <c r="C31">
        <f>0.96022</f>
        <v>0.96021999999999996</v>
      </c>
      <c r="D31" t="s">
        <v>5</v>
      </c>
      <c r="E31">
        <v>5.1000000000000004E-3</v>
      </c>
    </row>
    <row r="32" spans="2:19" x14ac:dyDescent="0.4">
      <c r="B32" t="s">
        <v>4</v>
      </c>
      <c r="C32">
        <f>0.00000000025524</f>
        <v>2.5523999999999999E-10</v>
      </c>
      <c r="D32" t="s">
        <v>5</v>
      </c>
      <c r="E32" s="1">
        <v>1.5099999999999999E-13</v>
      </c>
      <c r="F32" t="s">
        <v>5</v>
      </c>
    </row>
    <row r="33" spans="1:6" x14ac:dyDescent="0.4">
      <c r="B33" t="s">
        <v>1</v>
      </c>
      <c r="C33">
        <f>0.000000000037295</f>
        <v>3.7294999999999999E-11</v>
      </c>
      <c r="D33" t="s">
        <v>5</v>
      </c>
      <c r="E33" s="1">
        <v>2.5700000000000002E-13</v>
      </c>
      <c r="F33" t="s">
        <v>5</v>
      </c>
    </row>
    <row r="34" spans="1:6" x14ac:dyDescent="0.4">
      <c r="A34" t="s">
        <v>6</v>
      </c>
      <c r="B34" t="s">
        <v>7</v>
      </c>
      <c r="F34" t="s">
        <v>5</v>
      </c>
    </row>
    <row r="35" spans="1:6" x14ac:dyDescent="0.4">
      <c r="B35" t="s">
        <v>2</v>
      </c>
      <c r="C35">
        <f>0.025691</f>
        <v>2.5690999999999999E-2</v>
      </c>
      <c r="D35" t="s">
        <v>5</v>
      </c>
      <c r="E35">
        <v>2.9199999999999999E-3</v>
      </c>
      <c r="F35" t="s">
        <v>5</v>
      </c>
    </row>
    <row r="36" spans="1:6" x14ac:dyDescent="0.4">
      <c r="B36" t="s">
        <v>3</v>
      </c>
      <c r="C36">
        <f>0.96272</f>
        <v>0.96272000000000002</v>
      </c>
      <c r="D36" t="s">
        <v>5</v>
      </c>
      <c r="E36">
        <v>5.3699999999999998E-3</v>
      </c>
    </row>
    <row r="37" spans="1:6" x14ac:dyDescent="0.4">
      <c r="B37" t="s">
        <v>4</v>
      </c>
      <c r="C37">
        <f>0.00000000025458</f>
        <v>2.5458000000000001E-10</v>
      </c>
      <c r="D37" t="s">
        <v>5</v>
      </c>
      <c r="E37" s="1">
        <v>1.66E-13</v>
      </c>
      <c r="F37" t="s">
        <v>5</v>
      </c>
    </row>
    <row r="38" spans="1:6" x14ac:dyDescent="0.4">
      <c r="B38" t="s">
        <v>1</v>
      </c>
      <c r="C38">
        <f>0.000000000039488</f>
        <v>3.9488E-11</v>
      </c>
      <c r="D38" t="s">
        <v>5</v>
      </c>
      <c r="E38" s="1">
        <v>2.8799999999999998E-13</v>
      </c>
      <c r="F38" t="s">
        <v>5</v>
      </c>
    </row>
    <row r="39" spans="1:6" x14ac:dyDescent="0.4">
      <c r="D39" t="s">
        <v>4</v>
      </c>
      <c r="E39">
        <f>0.26989</f>
        <v>0.26989000000000002</v>
      </c>
      <c r="F39" t="s">
        <v>5</v>
      </c>
    </row>
    <row r="40" spans="1:6" x14ac:dyDescent="0.4">
      <c r="D40" t="s">
        <v>1</v>
      </c>
      <c r="E40">
        <f>0.035689</f>
        <v>3.5688999999999999E-2</v>
      </c>
      <c r="F40" t="s">
        <v>5</v>
      </c>
    </row>
  </sheetData>
  <sortState xmlns:xlrd2="http://schemas.microsoft.com/office/spreadsheetml/2017/richdata2" ref="B14:C24">
    <sortCondition ref="B14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E7CC-DE9E-43AE-A1AA-250268823D60}">
  <dimension ref="C2:W29"/>
  <sheetViews>
    <sheetView tabSelected="1" topLeftCell="D1" workbookViewId="0">
      <selection activeCell="I11" sqref="I11:I26"/>
    </sheetView>
  </sheetViews>
  <sheetFormatPr defaultRowHeight="18.75" x14ac:dyDescent="0.4"/>
  <cols>
    <col min="10" max="10" width="12.25" bestFit="1" customWidth="1"/>
    <col min="17" max="17" width="11.625" bestFit="1" customWidth="1"/>
  </cols>
  <sheetData>
    <row r="2" spans="3:23" x14ac:dyDescent="0.4">
      <c r="G2" t="s">
        <v>15</v>
      </c>
      <c r="H2">
        <v>106</v>
      </c>
      <c r="I2">
        <v>105</v>
      </c>
      <c r="J2">
        <v>104</v>
      </c>
      <c r="K2">
        <v>103</v>
      </c>
      <c r="L2">
        <v>102</v>
      </c>
      <c r="M2">
        <v>101</v>
      </c>
      <c r="N2">
        <v>100</v>
      </c>
      <c r="O2">
        <v>99</v>
      </c>
      <c r="P2">
        <v>98</v>
      </c>
      <c r="Q2">
        <v>97</v>
      </c>
      <c r="R2">
        <v>96</v>
      </c>
      <c r="S2">
        <v>95</v>
      </c>
      <c r="T2">
        <v>94</v>
      </c>
      <c r="U2">
        <v>93</v>
      </c>
      <c r="V2">
        <v>92</v>
      </c>
      <c r="W2">
        <v>91</v>
      </c>
    </row>
    <row r="3" spans="3:23" x14ac:dyDescent="0.4">
      <c r="G3" t="s">
        <v>19</v>
      </c>
      <c r="H3">
        <v>9.1</v>
      </c>
      <c r="I3">
        <v>10.8</v>
      </c>
      <c r="J3">
        <v>12.6</v>
      </c>
      <c r="K3">
        <v>14.4</v>
      </c>
      <c r="L3">
        <v>16.100000000000001</v>
      </c>
      <c r="M3">
        <v>17.8</v>
      </c>
      <c r="N3">
        <v>19.399999999999999</v>
      </c>
      <c r="O3">
        <v>21.1</v>
      </c>
      <c r="P3">
        <v>23.1</v>
      </c>
      <c r="Q3">
        <v>24.2</v>
      </c>
      <c r="R3">
        <v>25.7</v>
      </c>
      <c r="S3">
        <v>27.2</v>
      </c>
      <c r="T3">
        <v>28.6</v>
      </c>
      <c r="U3">
        <v>30</v>
      </c>
      <c r="V3">
        <v>31.3</v>
      </c>
      <c r="W3">
        <v>32.6</v>
      </c>
    </row>
    <row r="4" spans="3:23" x14ac:dyDescent="0.4">
      <c r="G4" t="s">
        <v>2</v>
      </c>
      <c r="H4">
        <f>0.042611</f>
        <v>4.2611000000000003E-2</v>
      </c>
      <c r="I4">
        <f>0.041653</f>
        <v>4.1653000000000003E-2</v>
      </c>
      <c r="J4">
        <f>0.02919</f>
        <v>2.9190000000000001E-2</v>
      </c>
      <c r="K4">
        <f>0.030815</f>
        <v>3.0814999999999999E-2</v>
      </c>
      <c r="L4">
        <f>0.022049</f>
        <v>2.2048999999999999E-2</v>
      </c>
      <c r="M4">
        <f>0.031771</f>
        <v>3.1771000000000001E-2</v>
      </c>
      <c r="N4">
        <f>0.013029</f>
        <v>1.3029000000000001E-2</v>
      </c>
      <c r="O4">
        <f>0.0051891</f>
        <v>5.1891000000000003E-3</v>
      </c>
      <c r="P4">
        <f>0.035578</f>
        <v>3.5577999999999999E-2</v>
      </c>
      <c r="Q4">
        <f>0.029237</f>
        <v>2.9236999999999999E-2</v>
      </c>
      <c r="R4">
        <f>0.017621</f>
        <v>1.7621000000000001E-2</v>
      </c>
      <c r="S4">
        <f>0.013823</f>
        <v>1.3823E-2</v>
      </c>
      <c r="T4">
        <f>0.01603</f>
        <v>1.6029999999999999E-2</v>
      </c>
      <c r="U4">
        <f>0.022816</f>
        <v>2.2815999999999999E-2</v>
      </c>
      <c r="V4">
        <f>0.021532</f>
        <v>2.1531999999999999E-2</v>
      </c>
      <c r="W4">
        <f>0.024409</f>
        <v>2.4409E-2</v>
      </c>
    </row>
    <row r="5" spans="3:23" x14ac:dyDescent="0.4">
      <c r="C5">
        <v>1.9</v>
      </c>
      <c r="G5" t="s">
        <v>3</v>
      </c>
      <c r="H5">
        <f>0.90624</f>
        <v>0.90624000000000005</v>
      </c>
      <c r="I5">
        <f>0.92449</f>
        <v>0.92449000000000003</v>
      </c>
      <c r="J5">
        <f>0.94826</f>
        <v>0.94825999999999999</v>
      </c>
      <c r="K5">
        <f>0.95748</f>
        <v>0.95748</v>
      </c>
      <c r="L5">
        <f>0.97376</f>
        <v>0.97375999999999996</v>
      </c>
      <c r="M5">
        <f>0.96742</f>
        <v>0.96741999999999995</v>
      </c>
      <c r="N5">
        <f>0.99344</f>
        <v>0.99343999999999999</v>
      </c>
      <c r="O5">
        <f>0.99971</f>
        <v>0.99970999999999999</v>
      </c>
      <c r="P5">
        <f>0.97123</f>
        <v>0.97123000000000004</v>
      </c>
      <c r="Q5">
        <f>0.9587</f>
        <v>0.9587</v>
      </c>
      <c r="R5">
        <f>0.97342</f>
        <v>0.97341999999999995</v>
      </c>
      <c r="S5">
        <f>0.96805</f>
        <v>0.96804999999999997</v>
      </c>
      <c r="T5">
        <f>0.94021</f>
        <v>0.94020999999999999</v>
      </c>
      <c r="U5">
        <f>0.9424</f>
        <v>0.94240000000000002</v>
      </c>
      <c r="V5">
        <f>0.97153</f>
        <v>0.97153</v>
      </c>
      <c r="W5">
        <f>0.96945</f>
        <v>0.96945000000000003</v>
      </c>
    </row>
    <row r="6" spans="3:23" x14ac:dyDescent="0.4">
      <c r="C6">
        <v>3.7</v>
      </c>
      <c r="G6" t="s">
        <v>4</v>
      </c>
      <c r="H6">
        <f>0.4881</f>
        <v>0.48809999999999998</v>
      </c>
      <c r="I6">
        <f>0.49817</f>
        <v>0.49817</v>
      </c>
      <c r="J6">
        <f>0.53453</f>
        <v>0.53452999999999995</v>
      </c>
      <c r="K6">
        <f>0.56892</f>
        <v>0.56891999999999998</v>
      </c>
      <c r="L6">
        <f>0.60029</f>
        <v>0.60028999999999999</v>
      </c>
      <c r="M6">
        <f>0.63105</f>
        <v>0.63105</v>
      </c>
      <c r="N6">
        <f>0.65945</f>
        <v>0.65944999999999998</v>
      </c>
      <c r="O6">
        <f>0.68807</f>
        <v>0.68806999999999996</v>
      </c>
      <c r="P6">
        <f>0.71807</f>
        <v>0.71806999999999999</v>
      </c>
      <c r="Q6">
        <f>0.74572</f>
        <v>0.74572000000000005</v>
      </c>
      <c r="R6">
        <f>0.77637</f>
        <v>0.77637</v>
      </c>
      <c r="S6">
        <f>0.8034</f>
        <v>0.8034</v>
      </c>
      <c r="T6">
        <f>0.82041</f>
        <v>0.82040999999999997</v>
      </c>
      <c r="U6">
        <f>0.83316</f>
        <v>0.83316000000000001</v>
      </c>
      <c r="V6">
        <f>0.83994</f>
        <v>0.83994000000000002</v>
      </c>
      <c r="W6">
        <f>0.84602</f>
        <v>0.84601999999999999</v>
      </c>
    </row>
    <row r="7" spans="3:23" x14ac:dyDescent="0.4">
      <c r="C7">
        <v>5.5</v>
      </c>
      <c r="G7" t="s">
        <v>1</v>
      </c>
      <c r="H7">
        <f>0.048559</f>
        <v>4.8558999999999998E-2</v>
      </c>
      <c r="I7">
        <f>0.046251</f>
        <v>4.6251E-2</v>
      </c>
      <c r="J7">
        <f>0.04868</f>
        <v>4.8680000000000001E-2</v>
      </c>
      <c r="K7">
        <f>0.050134</f>
        <v>5.0133999999999998E-2</v>
      </c>
      <c r="L7">
        <f>0.052732</f>
        <v>5.2732000000000001E-2</v>
      </c>
      <c r="M7">
        <f>0.054549</f>
        <v>5.4549E-2</v>
      </c>
      <c r="N7">
        <f>0.058207</f>
        <v>5.8207000000000002E-2</v>
      </c>
      <c r="O7">
        <f>0.061661</f>
        <v>6.1661000000000001E-2</v>
      </c>
      <c r="P7">
        <f>0.064169</f>
        <v>6.4169000000000004E-2</v>
      </c>
      <c r="Q7">
        <f>0.069725</f>
        <v>6.9724999999999995E-2</v>
      </c>
      <c r="R7">
        <f>0.078971</f>
        <v>7.8971E-2</v>
      </c>
      <c r="S7">
        <f>0.084796</f>
        <v>8.4795999999999996E-2</v>
      </c>
      <c r="T7">
        <f>0.086101</f>
        <v>8.6100999999999997E-2</v>
      </c>
      <c r="U7">
        <f>0.086546</f>
        <v>8.6545999999999998E-2</v>
      </c>
      <c r="V7">
        <f>0.087739</f>
        <v>8.7738999999999998E-2</v>
      </c>
      <c r="W7">
        <f>0.096153</f>
        <v>9.6153000000000002E-2</v>
      </c>
    </row>
    <row r="8" spans="3:23" x14ac:dyDescent="0.4">
      <c r="C8">
        <v>7.3</v>
      </c>
    </row>
    <row r="9" spans="3:23" x14ac:dyDescent="0.4">
      <c r="C9">
        <v>9.1</v>
      </c>
      <c r="G9" s="1"/>
      <c r="O9" t="s">
        <v>10</v>
      </c>
    </row>
    <row r="10" spans="3:23" x14ac:dyDescent="0.4">
      <c r="C10">
        <v>10.8</v>
      </c>
      <c r="G10" s="1"/>
      <c r="I10" t="s">
        <v>19</v>
      </c>
      <c r="J10" t="s">
        <v>11</v>
      </c>
      <c r="K10" t="s">
        <v>21</v>
      </c>
      <c r="L10" t="s">
        <v>2</v>
      </c>
      <c r="M10" t="s">
        <v>3</v>
      </c>
      <c r="N10" t="s">
        <v>4</v>
      </c>
      <c r="O10" t="s">
        <v>1</v>
      </c>
      <c r="Q10" t="s">
        <v>12</v>
      </c>
      <c r="R10" t="s">
        <v>0</v>
      </c>
      <c r="S10" t="s">
        <v>13</v>
      </c>
    </row>
    <row r="11" spans="3:23" x14ac:dyDescent="0.4">
      <c r="C11">
        <v>12.6</v>
      </c>
      <c r="I11">
        <v>9.1</v>
      </c>
      <c r="J11">
        <f>SQRT((O11*10^3)^2-K11^2)</f>
        <v>47.559820026993371</v>
      </c>
      <c r="K11">
        <v>9.8000000000000007</v>
      </c>
      <c r="L11">
        <f>0.042611</f>
        <v>4.2611000000000003E-2</v>
      </c>
      <c r="M11">
        <f>0.90624</f>
        <v>0.90624000000000005</v>
      </c>
      <c r="N11">
        <f>0.4881</f>
        <v>0.48809999999999998</v>
      </c>
      <c r="O11">
        <f>0.048559</f>
        <v>4.8558999999999998E-2</v>
      </c>
      <c r="Q11">
        <f>O11*1000/J11</f>
        <v>1.0210089098831645</v>
      </c>
      <c r="R11">
        <v>7.6625600000000002E-2</v>
      </c>
      <c r="S11">
        <f>R11/Q11*1000</f>
        <v>75.048904332057575</v>
      </c>
    </row>
    <row r="12" spans="3:23" x14ac:dyDescent="0.4">
      <c r="C12">
        <v>14.4</v>
      </c>
      <c r="I12">
        <v>10.8</v>
      </c>
      <c r="J12">
        <f t="shared" ref="J12:J26" si="0">SQRT((O12*10^3)^2-K12^2)</f>
        <v>45.200829649465504</v>
      </c>
      <c r="K12">
        <v>9.8000000000000007</v>
      </c>
      <c r="L12">
        <f>0.041653</f>
        <v>4.1653000000000003E-2</v>
      </c>
      <c r="M12">
        <f>0.92449</f>
        <v>0.92449000000000003</v>
      </c>
      <c r="N12">
        <f>0.49817</f>
        <v>0.49817</v>
      </c>
      <c r="O12">
        <f>0.046251</f>
        <v>4.6251E-2</v>
      </c>
      <c r="Q12">
        <f t="shared" ref="Q12:Q26" si="1">O12*1000/J12</f>
        <v>1.0232334308613054</v>
      </c>
      <c r="R12">
        <v>7.5580499999999995E-2</v>
      </c>
      <c r="S12">
        <f t="shared" ref="S12:S26" si="2">R12/Q12*1000</f>
        <v>73.864377101498931</v>
      </c>
    </row>
    <row r="13" spans="3:23" x14ac:dyDescent="0.4">
      <c r="C13">
        <v>16.100000000000001</v>
      </c>
      <c r="G13" s="1"/>
      <c r="I13">
        <v>12.6</v>
      </c>
      <c r="J13">
        <f t="shared" si="0"/>
        <v>47.683355586619534</v>
      </c>
      <c r="K13">
        <v>9.8000000000000007</v>
      </c>
      <c r="L13">
        <f>0.02919</f>
        <v>2.9190000000000001E-2</v>
      </c>
      <c r="M13">
        <f>0.94826</f>
        <v>0.94825999999999999</v>
      </c>
      <c r="N13">
        <f>0.53453</f>
        <v>0.53452999999999995</v>
      </c>
      <c r="O13">
        <f>0.04868</f>
        <v>4.8680000000000001E-2</v>
      </c>
      <c r="Q13">
        <f t="shared" si="1"/>
        <v>1.0209013061501093</v>
      </c>
      <c r="R13">
        <v>7.9755099999999995E-2</v>
      </c>
      <c r="S13">
        <f t="shared" si="2"/>
        <v>78.122243080246491</v>
      </c>
    </row>
    <row r="14" spans="3:23" x14ac:dyDescent="0.4">
      <c r="C14">
        <v>17.8</v>
      </c>
      <c r="G14" s="1"/>
      <c r="I14">
        <v>14.4</v>
      </c>
      <c r="J14">
        <f t="shared" si="0"/>
        <v>49.166837970323051</v>
      </c>
      <c r="K14">
        <v>9.8000000000000007</v>
      </c>
      <c r="L14">
        <f>0.030815</f>
        <v>3.0814999999999999E-2</v>
      </c>
      <c r="M14">
        <f>0.95748</f>
        <v>0.95748</v>
      </c>
      <c r="N14">
        <f>0.56892</f>
        <v>0.56891999999999998</v>
      </c>
      <c r="O14">
        <f>0.050134</f>
        <v>5.0133999999999998E-2</v>
      </c>
      <c r="Q14">
        <f t="shared" si="1"/>
        <v>1.01967102359238</v>
      </c>
      <c r="R14">
        <v>8.3402699999999996E-2</v>
      </c>
      <c r="S14">
        <f t="shared" si="2"/>
        <v>81.793733537867752</v>
      </c>
    </row>
    <row r="15" spans="3:23" x14ac:dyDescent="0.4">
      <c r="C15">
        <v>19.399999999999999</v>
      </c>
      <c r="I15">
        <v>16.100000000000001</v>
      </c>
      <c r="J15">
        <f t="shared" si="0"/>
        <v>51.813355652765821</v>
      </c>
      <c r="K15">
        <v>9.8000000000000007</v>
      </c>
      <c r="L15">
        <f>0.022049</f>
        <v>2.2048999999999999E-2</v>
      </c>
      <c r="M15">
        <f>0.97376</f>
        <v>0.97375999999999996</v>
      </c>
      <c r="N15">
        <f>0.60029</f>
        <v>0.60028999999999999</v>
      </c>
      <c r="O15">
        <f>0.052732</f>
        <v>5.2732000000000001E-2</v>
      </c>
      <c r="Q15">
        <f t="shared" si="1"/>
        <v>1.0177298755438771</v>
      </c>
      <c r="R15">
        <v>8.7581699999999998E-2</v>
      </c>
      <c r="S15">
        <f t="shared" si="2"/>
        <v>86.055938913256469</v>
      </c>
    </row>
    <row r="16" spans="3:23" x14ac:dyDescent="0.4">
      <c r="C16">
        <v>21.1</v>
      </c>
      <c r="I16">
        <v>17.8</v>
      </c>
      <c r="J16">
        <f t="shared" si="0"/>
        <v>53.661470358162944</v>
      </c>
      <c r="K16">
        <v>9.8000000000000007</v>
      </c>
      <c r="L16">
        <f>0.031771</f>
        <v>3.1771000000000001E-2</v>
      </c>
      <c r="M16">
        <f>0.96742</f>
        <v>0.96741999999999995</v>
      </c>
      <c r="N16">
        <f>0.63105</f>
        <v>0.63105</v>
      </c>
      <c r="O16">
        <f>0.054549</f>
        <v>5.4549E-2</v>
      </c>
      <c r="Q16">
        <f t="shared" si="1"/>
        <v>1.0165394208528624</v>
      </c>
      <c r="R16">
        <v>9.2202900000000004E-2</v>
      </c>
      <c r="S16">
        <f t="shared" si="2"/>
        <v>90.702729386178703</v>
      </c>
    </row>
    <row r="17" spans="3:19" x14ac:dyDescent="0.4">
      <c r="C17">
        <v>23.1</v>
      </c>
      <c r="I17">
        <v>19.399999999999999</v>
      </c>
      <c r="J17">
        <f t="shared" si="0"/>
        <v>57.376082551878703</v>
      </c>
      <c r="K17">
        <v>9.8000000000000007</v>
      </c>
      <c r="L17">
        <f>0.013029</f>
        <v>1.3029000000000001E-2</v>
      </c>
      <c r="M17">
        <f>0.99344</f>
        <v>0.99343999999999999</v>
      </c>
      <c r="N17">
        <f>0.65945</f>
        <v>0.65944999999999998</v>
      </c>
      <c r="O17">
        <f>0.058207</f>
        <v>5.8207000000000002E-2</v>
      </c>
      <c r="Q17">
        <f t="shared" si="1"/>
        <v>1.0144819480725265</v>
      </c>
      <c r="R17">
        <v>9.76553E-2</v>
      </c>
      <c r="S17">
        <f t="shared" si="2"/>
        <v>96.261249582154718</v>
      </c>
    </row>
    <row r="18" spans="3:19" x14ac:dyDescent="0.4">
      <c r="C18">
        <v>24.2</v>
      </c>
      <c r="H18" t="s">
        <v>6</v>
      </c>
      <c r="I18">
        <v>21.1</v>
      </c>
      <c r="J18">
        <f t="shared" si="0"/>
        <v>60.877244689621101</v>
      </c>
      <c r="K18">
        <v>9.8000000000000007</v>
      </c>
      <c r="L18">
        <f>0.0051891</f>
        <v>5.1891000000000003E-3</v>
      </c>
      <c r="M18">
        <f>0.99971</f>
        <v>0.99970999999999999</v>
      </c>
      <c r="N18">
        <f>0.68807</f>
        <v>0.68806999999999996</v>
      </c>
      <c r="O18">
        <f>0.061661</f>
        <v>6.1661000000000001E-2</v>
      </c>
      <c r="Q18">
        <f t="shared" si="1"/>
        <v>1.0128743558348416</v>
      </c>
      <c r="R18">
        <v>0.104779</v>
      </c>
      <c r="S18">
        <f t="shared" si="2"/>
        <v>103.44718414125312</v>
      </c>
    </row>
    <row r="19" spans="3:19" x14ac:dyDescent="0.4">
      <c r="C19">
        <v>25.7</v>
      </c>
      <c r="G19" s="1"/>
      <c r="H19" t="s">
        <v>2</v>
      </c>
      <c r="I19">
        <v>23.1</v>
      </c>
      <c r="J19">
        <f>SQRT((O19*10^3)^2-K19^2)</f>
        <v>63.416248398971064</v>
      </c>
      <c r="K19">
        <v>9.8000000000000007</v>
      </c>
      <c r="L19">
        <f>0.035578</f>
        <v>3.5577999999999999E-2</v>
      </c>
      <c r="M19">
        <f>0.97123</f>
        <v>0.97123000000000004</v>
      </c>
      <c r="N19">
        <f>0.71807</f>
        <v>0.71806999999999999</v>
      </c>
      <c r="O19">
        <f>0.064169</f>
        <v>6.4169000000000004E-2</v>
      </c>
      <c r="Q19">
        <f t="shared" si="1"/>
        <v>1.0118700115511903</v>
      </c>
      <c r="R19">
        <v>0.109794</v>
      </c>
      <c r="S19">
        <f t="shared" si="2"/>
        <v>108.50603214506427</v>
      </c>
    </row>
    <row r="20" spans="3:19" x14ac:dyDescent="0.4">
      <c r="C20">
        <v>27.2</v>
      </c>
      <c r="G20" s="1"/>
      <c r="H20" t="s">
        <v>3</v>
      </c>
      <c r="I20">
        <v>24.2</v>
      </c>
      <c r="J20">
        <f t="shared" si="0"/>
        <v>69.032859023801123</v>
      </c>
      <c r="K20">
        <v>9.8000000000000007</v>
      </c>
      <c r="L20">
        <f>0.029237</f>
        <v>2.9236999999999999E-2</v>
      </c>
      <c r="M20">
        <f>0.9587</f>
        <v>0.9587</v>
      </c>
      <c r="N20">
        <f>0.74572</f>
        <v>0.74572000000000005</v>
      </c>
      <c r="O20">
        <f>0.069725</f>
        <v>6.9724999999999995E-2</v>
      </c>
      <c r="Q20">
        <f t="shared" si="1"/>
        <v>1.0100262539605991</v>
      </c>
      <c r="R20">
        <v>0.11537699999999999</v>
      </c>
      <c r="S20">
        <f t="shared" si="2"/>
        <v>114.23168412461962</v>
      </c>
    </row>
    <row r="21" spans="3:19" x14ac:dyDescent="0.4">
      <c r="C21">
        <v>28.6</v>
      </c>
      <c r="H21" t="s">
        <v>4</v>
      </c>
      <c r="I21">
        <v>25.7</v>
      </c>
      <c r="J21">
        <f t="shared" si="0"/>
        <v>78.360569427486936</v>
      </c>
      <c r="K21">
        <v>9.8000000000000007</v>
      </c>
      <c r="L21">
        <f>0.017621</f>
        <v>1.7621000000000001E-2</v>
      </c>
      <c r="M21">
        <f>0.97342</f>
        <v>0.97341999999999995</v>
      </c>
      <c r="N21">
        <f>0.77637</f>
        <v>0.77637</v>
      </c>
      <c r="O21">
        <f>0.078971</f>
        <v>7.8971E-2</v>
      </c>
      <c r="Q21">
        <f t="shared" si="1"/>
        <v>1.0077900221625871</v>
      </c>
      <c r="R21">
        <v>0.13014200000000001</v>
      </c>
      <c r="S21">
        <f t="shared" si="2"/>
        <v>129.13602748391187</v>
      </c>
    </row>
    <row r="22" spans="3:19" x14ac:dyDescent="0.4">
      <c r="C22">
        <v>30</v>
      </c>
      <c r="H22" t="s">
        <v>1</v>
      </c>
      <c r="I22">
        <v>27.2</v>
      </c>
      <c r="J22">
        <f t="shared" si="0"/>
        <v>84.227795982086562</v>
      </c>
      <c r="K22">
        <v>9.8000000000000007</v>
      </c>
      <c r="L22">
        <f>0.013823</f>
        <v>1.3823E-2</v>
      </c>
      <c r="M22">
        <f>0.96805</f>
        <v>0.96804999999999997</v>
      </c>
      <c r="N22">
        <f>0.8034</f>
        <v>0.8034</v>
      </c>
      <c r="O22">
        <f>0.084796</f>
        <v>8.4795999999999996E-2</v>
      </c>
      <c r="Q22">
        <f t="shared" si="1"/>
        <v>1.0067460392532921</v>
      </c>
      <c r="R22">
        <v>0.14068600000000001</v>
      </c>
      <c r="S22">
        <f t="shared" si="2"/>
        <v>139.74328630520108</v>
      </c>
    </row>
    <row r="23" spans="3:19" x14ac:dyDescent="0.4">
      <c r="C23">
        <v>31.3</v>
      </c>
      <c r="G23" t="s">
        <v>8</v>
      </c>
      <c r="H23" t="s">
        <v>20</v>
      </c>
      <c r="I23">
        <v>28.6</v>
      </c>
      <c r="J23">
        <f t="shared" si="0"/>
        <v>85.541464805087358</v>
      </c>
      <c r="K23">
        <v>9.8000000000000007</v>
      </c>
      <c r="L23">
        <f>0.01603</f>
        <v>1.6029999999999999E-2</v>
      </c>
      <c r="M23">
        <f>0.94021</f>
        <v>0.94020999999999999</v>
      </c>
      <c r="N23">
        <f>0.82041</f>
        <v>0.82040999999999997</v>
      </c>
      <c r="O23">
        <f>0.086101</f>
        <v>8.6100999999999997E-2</v>
      </c>
      <c r="Q23">
        <f t="shared" si="1"/>
        <v>1.0065410990586563</v>
      </c>
      <c r="R23">
        <v>0.13730000000000001</v>
      </c>
      <c r="S23">
        <f t="shared" si="2"/>
        <v>136.40774343780555</v>
      </c>
    </row>
    <row r="24" spans="3:19" x14ac:dyDescent="0.4">
      <c r="C24">
        <v>32.6</v>
      </c>
      <c r="G24" s="1"/>
      <c r="I24">
        <v>30</v>
      </c>
      <c r="J24">
        <f t="shared" si="0"/>
        <v>85.989360481399089</v>
      </c>
      <c r="K24">
        <v>9.8000000000000007</v>
      </c>
      <c r="L24">
        <f>0.022816</f>
        <v>2.2815999999999999E-2</v>
      </c>
      <c r="M24">
        <f>0.9424</f>
        <v>0.94240000000000002</v>
      </c>
      <c r="N24">
        <f>0.83316</f>
        <v>0.83316000000000001</v>
      </c>
      <c r="O24">
        <f>0.086546</f>
        <v>8.6545999999999998E-2</v>
      </c>
      <c r="Q24">
        <f t="shared" si="1"/>
        <v>1.006473353394939</v>
      </c>
      <c r="R24">
        <v>0.14180999999999999</v>
      </c>
      <c r="S24">
        <f t="shared" si="2"/>
        <v>140.89791798427663</v>
      </c>
    </row>
    <row r="25" spans="3:19" x14ac:dyDescent="0.4">
      <c r="G25" s="1"/>
      <c r="I25">
        <v>31.3</v>
      </c>
      <c r="J25">
        <f t="shared" si="0"/>
        <v>87.189977182013308</v>
      </c>
      <c r="K25">
        <v>9.8000000000000007</v>
      </c>
      <c r="L25">
        <f>0.021532</f>
        <v>2.1531999999999999E-2</v>
      </c>
      <c r="M25">
        <f>0.97153</f>
        <v>0.97153</v>
      </c>
      <c r="N25">
        <f>0.83994</f>
        <v>0.83994000000000002</v>
      </c>
      <c r="O25">
        <f>0.087739</f>
        <v>8.7738999999999998E-2</v>
      </c>
      <c r="Q25">
        <f t="shared" si="1"/>
        <v>1.0062968569981454</v>
      </c>
      <c r="R25">
        <v>0.14880699999999999</v>
      </c>
      <c r="S25">
        <f t="shared" si="2"/>
        <v>147.87584693834958</v>
      </c>
    </row>
    <row r="26" spans="3:19" x14ac:dyDescent="0.4">
      <c r="I26">
        <v>32.6</v>
      </c>
      <c r="J26">
        <f t="shared" si="0"/>
        <v>95.652283867140369</v>
      </c>
      <c r="K26">
        <v>9.8000000000000007</v>
      </c>
      <c r="L26">
        <f>0.024409</f>
        <v>2.4409E-2</v>
      </c>
      <c r="M26">
        <f>0.96945</f>
        <v>0.96945000000000003</v>
      </c>
      <c r="N26">
        <f>0.84602</f>
        <v>0.84601999999999999</v>
      </c>
      <c r="O26">
        <f>0.096153</f>
        <v>9.6153000000000002E-2</v>
      </c>
      <c r="Q26">
        <f t="shared" si="1"/>
        <v>1.0052347535533508</v>
      </c>
      <c r="R26">
        <v>0.159659</v>
      </c>
      <c r="S26">
        <f t="shared" si="2"/>
        <v>158.82757677809079</v>
      </c>
    </row>
    <row r="29" spans="3:19" x14ac:dyDescent="0.4">
      <c r="G29" s="1"/>
    </row>
  </sheetData>
  <sortState xmlns:xlrd2="http://schemas.microsoft.com/office/spreadsheetml/2017/richdata2" ref="Q11:Q17">
    <sortCondition ref="Q11"/>
  </sortState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21A6-8E41-488F-9EC0-75748824744A}">
  <dimension ref="A1:V29"/>
  <sheetViews>
    <sheetView workbookViewId="0">
      <selection activeCell="U12" sqref="U12:U25"/>
    </sheetView>
  </sheetViews>
  <sheetFormatPr defaultRowHeight="18.75" x14ac:dyDescent="0.4"/>
  <cols>
    <col min="19" max="19" width="13.375" bestFit="1" customWidth="1"/>
    <col min="21" max="21" width="9.5" bestFit="1" customWidth="1"/>
  </cols>
  <sheetData>
    <row r="1" spans="1:22" ht="19.5" thickBot="1" x14ac:dyDescent="0.45">
      <c r="I1" s="5">
        <v>3.01</v>
      </c>
      <c r="J1" s="5">
        <v>14.8</v>
      </c>
      <c r="K1" s="5">
        <v>16.600000000000001</v>
      </c>
      <c r="L1" s="5">
        <v>18.3</v>
      </c>
      <c r="M1" s="5">
        <v>20</v>
      </c>
      <c r="N1" s="5">
        <v>21.7</v>
      </c>
      <c r="O1" s="5">
        <v>23.4</v>
      </c>
      <c r="P1" s="5">
        <v>25</v>
      </c>
      <c r="Q1" s="5">
        <v>27.2</v>
      </c>
      <c r="R1" s="5">
        <v>28</v>
      </c>
      <c r="S1" s="5">
        <v>29.6</v>
      </c>
      <c r="T1" s="5">
        <v>30.1</v>
      </c>
      <c r="U1" s="5">
        <v>32.299999999999997</v>
      </c>
      <c r="V1" s="10">
        <v>33.6</v>
      </c>
    </row>
    <row r="2" spans="1:22" ht="19.5" thickBot="1" x14ac:dyDescent="0.45">
      <c r="I2" s="6" t="s">
        <v>27</v>
      </c>
      <c r="J2" s="6" t="s">
        <v>28</v>
      </c>
      <c r="K2" s="6" t="s">
        <v>29</v>
      </c>
      <c r="L2" s="6" t="s">
        <v>30</v>
      </c>
      <c r="M2" s="6" t="s">
        <v>45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11" t="s">
        <v>39</v>
      </c>
    </row>
    <row r="3" spans="1:22" x14ac:dyDescent="0.4">
      <c r="H3" t="s">
        <v>2</v>
      </c>
      <c r="I3" t="s">
        <v>46</v>
      </c>
      <c r="J3">
        <f>0.039638</f>
        <v>3.9638E-2</v>
      </c>
      <c r="K3">
        <f>0.04968</f>
        <v>4.9680000000000002E-2</v>
      </c>
      <c r="L3">
        <f>0.030934</f>
        <v>3.0934E-2</v>
      </c>
      <c r="M3">
        <f>0.039161</f>
        <v>3.9161000000000001E-2</v>
      </c>
      <c r="N3">
        <f>0.0029258</f>
        <v>2.9258000000000001E-3</v>
      </c>
      <c r="O3">
        <f>0.018065</f>
        <v>1.8065000000000001E-2</v>
      </c>
      <c r="P3">
        <f>0.02424</f>
        <v>2.4240000000000001E-2</v>
      </c>
      <c r="Q3">
        <f>0.014573</f>
        <v>1.4572999999999999E-2</v>
      </c>
      <c r="R3">
        <f>0.01735</f>
        <v>1.7350000000000001E-2</v>
      </c>
      <c r="S3">
        <f>0.015448</f>
        <v>1.5448E-2</v>
      </c>
      <c r="T3">
        <f>0.013447</f>
        <v>1.3447000000000001E-2</v>
      </c>
      <c r="U3">
        <f>0.011389</f>
        <v>1.1389E-2</v>
      </c>
      <c r="V3">
        <f>0.012551</f>
        <v>1.2551E-2</v>
      </c>
    </row>
    <row r="4" spans="1:22" x14ac:dyDescent="0.4">
      <c r="H4" t="s">
        <v>3</v>
      </c>
      <c r="I4" t="s">
        <v>46</v>
      </c>
      <c r="J4">
        <f>0.929</f>
        <v>0.92900000000000005</v>
      </c>
      <c r="K4">
        <f>0.92719</f>
        <v>0.92718999999999996</v>
      </c>
      <c r="L4">
        <f>0.91595</f>
        <v>0.91595000000000004</v>
      </c>
      <c r="M4">
        <f>0.95347</f>
        <v>0.95347000000000004</v>
      </c>
      <c r="N4">
        <f>0.22733</f>
        <v>0.22733</v>
      </c>
      <c r="O4">
        <f>0.4234</f>
        <v>0.4234</v>
      </c>
      <c r="P4">
        <f>0.80385</f>
        <v>0.80384999999999995</v>
      </c>
      <c r="Q4">
        <f>0.66327</f>
        <v>0.66327000000000003</v>
      </c>
      <c r="R4">
        <f>0.74792</f>
        <v>0.74792000000000003</v>
      </c>
      <c r="S4">
        <f>0.87164</f>
        <v>0.87163999999999997</v>
      </c>
      <c r="T4">
        <f>0.8939</f>
        <v>0.89390000000000003</v>
      </c>
      <c r="U4">
        <f>0.91944</f>
        <v>0.91944000000000004</v>
      </c>
      <c r="V4">
        <f>0.473</f>
        <v>0.47299999999999998</v>
      </c>
    </row>
    <row r="5" spans="1:22" x14ac:dyDescent="0.4">
      <c r="H5" t="s">
        <v>4</v>
      </c>
      <c r="I5" t="s">
        <v>46</v>
      </c>
      <c r="J5">
        <f>0.00000000063452</f>
        <v>6.3452E-10</v>
      </c>
      <c r="K5">
        <f>0.0000000005499</f>
        <v>5.4990000000000003E-10</v>
      </c>
      <c r="L5">
        <f>0.00000000051992</f>
        <v>5.1992E-10</v>
      </c>
      <c r="M5">
        <f>0.00000000055501</f>
        <v>5.5501000000000003E-10</v>
      </c>
      <c r="N5">
        <f>0.00000000032043</f>
        <v>3.2043E-10</v>
      </c>
      <c r="O5">
        <f>0.00000000026164</f>
        <v>2.6163999999999999E-10</v>
      </c>
      <c r="P5">
        <f>0.00000000022708</f>
        <v>2.2708000000000001E-10</v>
      </c>
      <c r="Q5" s="1">
        <f>0.00000000020013</f>
        <v>2.0013000000000001E-10</v>
      </c>
      <c r="R5" s="1">
        <f>0.00000000017411</f>
        <v>1.7411000000000001E-10</v>
      </c>
      <c r="S5" s="1">
        <f>0.00000000014712</f>
        <v>1.4712E-10</v>
      </c>
      <c r="T5" s="1">
        <f>0.00000000012038</f>
        <v>1.2038E-10</v>
      </c>
      <c r="U5" s="1">
        <f>0.000000000094262</f>
        <v>9.4261999999999997E-11</v>
      </c>
      <c r="V5" s="1">
        <f>0.00000000007248</f>
        <v>7.2480000000000005E-11</v>
      </c>
    </row>
    <row r="6" spans="1:22" x14ac:dyDescent="0.4">
      <c r="D6" s="1"/>
      <c r="F6" s="1"/>
      <c r="G6" s="1"/>
      <c r="H6" t="s">
        <v>1</v>
      </c>
      <c r="I6" s="1" t="s">
        <v>46</v>
      </c>
      <c r="J6">
        <f>0.000000000033266</f>
        <v>3.3266000000000003E-11</v>
      </c>
      <c r="K6">
        <f>0.00000000002921</f>
        <v>2.9210000000000002E-11</v>
      </c>
      <c r="L6">
        <f>0.000000000031128</f>
        <v>3.1128000000000002E-11</v>
      </c>
      <c r="M6">
        <f>0.000000000020319</f>
        <v>2.0318999999999999E-11</v>
      </c>
      <c r="N6">
        <f>0.000000000023795</f>
        <v>2.3795E-11</v>
      </c>
      <c r="O6">
        <f>0.000000000019614</f>
        <v>1.9613999999999999E-11</v>
      </c>
      <c r="P6">
        <f>0.000000000020814</f>
        <v>2.0813999999999999E-11</v>
      </c>
      <c r="Q6" s="1">
        <f>0.000000000022112</f>
        <v>2.2111999999999999E-11</v>
      </c>
      <c r="R6" s="1">
        <f>0.000000000023211</f>
        <v>2.3210999999999999E-11</v>
      </c>
      <c r="S6" s="1">
        <f>0.000000000023149</f>
        <v>2.3149E-11</v>
      </c>
      <c r="T6" s="1">
        <f>0.000000000023151</f>
        <v>2.3151000000000001E-11</v>
      </c>
      <c r="U6" s="1">
        <f>0.000000000022022</f>
        <v>2.2022E-11</v>
      </c>
      <c r="V6" s="1">
        <f>0.000000000023848</f>
        <v>2.3847999999999999E-11</v>
      </c>
    </row>
    <row r="7" spans="1:22" x14ac:dyDescent="0.4">
      <c r="D7" s="1"/>
    </row>
    <row r="9" spans="1:22" ht="19.5" thickBot="1" x14ac:dyDescent="0.45"/>
    <row r="10" spans="1:22" x14ac:dyDescent="0.4">
      <c r="A10" s="2" t="s">
        <v>40</v>
      </c>
      <c r="B10" s="3" t="s">
        <v>22</v>
      </c>
      <c r="C10" s="3" t="s">
        <v>23</v>
      </c>
      <c r="D10" s="3" t="s">
        <v>42</v>
      </c>
      <c r="E10" s="3" t="s">
        <v>43</v>
      </c>
      <c r="F10" s="3" t="s">
        <v>44</v>
      </c>
      <c r="G10" s="3" t="s">
        <v>41</v>
      </c>
      <c r="H10" s="3" t="s">
        <v>25</v>
      </c>
      <c r="I10" s="4" t="s">
        <v>26</v>
      </c>
    </row>
    <row r="11" spans="1:22" x14ac:dyDescent="0.4">
      <c r="A11" s="5"/>
      <c r="B11" s="6"/>
      <c r="C11" s="6"/>
      <c r="D11" s="6"/>
      <c r="E11" s="6"/>
      <c r="F11" s="6"/>
      <c r="G11" s="6"/>
      <c r="H11" s="6"/>
      <c r="I11" s="7"/>
      <c r="L11" t="s">
        <v>11</v>
      </c>
      <c r="M11" t="s">
        <v>9</v>
      </c>
      <c r="N11" t="s">
        <v>2</v>
      </c>
      <c r="O11" t="s">
        <v>3</v>
      </c>
      <c r="P11" t="s">
        <v>4</v>
      </c>
      <c r="Q11" t="s">
        <v>1</v>
      </c>
      <c r="S11" t="s">
        <v>12</v>
      </c>
      <c r="T11" t="s">
        <v>0</v>
      </c>
      <c r="U11" t="s">
        <v>13</v>
      </c>
    </row>
    <row r="12" spans="1:22" x14ac:dyDescent="0.4">
      <c r="A12" s="5">
        <v>3.01</v>
      </c>
      <c r="B12" s="6" t="s">
        <v>27</v>
      </c>
      <c r="C12" s="6" t="s">
        <v>24</v>
      </c>
      <c r="D12" s="8"/>
      <c r="E12" s="6"/>
      <c r="F12" s="8"/>
      <c r="G12" s="8"/>
      <c r="H12" s="8"/>
      <c r="I12" s="9"/>
      <c r="J12" s="5">
        <v>3.01</v>
      </c>
      <c r="K12" s="6" t="s">
        <v>27</v>
      </c>
      <c r="M12">
        <v>9.8000000000000007</v>
      </c>
      <c r="N12" t="s">
        <v>46</v>
      </c>
      <c r="O12" t="s">
        <v>46</v>
      </c>
      <c r="P12" t="s">
        <v>46</v>
      </c>
      <c r="Q12" s="1" t="s">
        <v>46</v>
      </c>
    </row>
    <row r="13" spans="1:22" x14ac:dyDescent="0.4">
      <c r="A13" s="5">
        <v>14.8</v>
      </c>
      <c r="B13" s="6" t="s">
        <v>28</v>
      </c>
      <c r="C13" s="6" t="s">
        <v>24</v>
      </c>
      <c r="D13" s="8">
        <v>6.34074E-10</v>
      </c>
      <c r="E13" s="6">
        <v>1.5111599999999999E-2</v>
      </c>
      <c r="F13" s="8">
        <v>9.9108800000000003E-13</v>
      </c>
      <c r="G13" s="8">
        <v>5.2997400000000003E-11</v>
      </c>
      <c r="H13" s="8">
        <v>2.6210300000000001E-11</v>
      </c>
      <c r="I13" s="9">
        <v>2.6786999999999999E-11</v>
      </c>
      <c r="J13" s="5">
        <v>14.8</v>
      </c>
      <c r="K13" s="6" t="s">
        <v>28</v>
      </c>
      <c r="L13">
        <f>SQRT((Q13*10^12)^2-M13^2)</f>
        <v>31.789727208643995</v>
      </c>
      <c r="M13">
        <v>9.8000000000000007</v>
      </c>
      <c r="N13">
        <f>0.039638</f>
        <v>3.9638E-2</v>
      </c>
      <c r="O13">
        <f>0.929</f>
        <v>0.92900000000000005</v>
      </c>
      <c r="P13">
        <f>0.00000000063452</f>
        <v>6.3452E-10</v>
      </c>
      <c r="Q13">
        <f>0.000000000033266</f>
        <v>3.3266000000000003E-11</v>
      </c>
      <c r="S13">
        <f>Q13*10^12/L13</f>
        <v>1.0464386744078318</v>
      </c>
      <c r="T13" s="8">
        <v>5.2997400000000003E-11</v>
      </c>
      <c r="U13" s="1">
        <f>T13*10^12/S13</f>
        <v>50.64549055394064</v>
      </c>
    </row>
    <row r="14" spans="1:22" x14ac:dyDescent="0.4">
      <c r="A14" s="5">
        <v>16.600000000000001</v>
      </c>
      <c r="B14" s="6" t="s">
        <v>29</v>
      </c>
      <c r="C14" s="6" t="s">
        <v>24</v>
      </c>
      <c r="D14" s="8">
        <v>5.4592599999999996E-10</v>
      </c>
      <c r="E14" s="6">
        <v>2.6399800000000001E-2</v>
      </c>
      <c r="F14" s="8">
        <v>1.5864E-12</v>
      </c>
      <c r="G14" s="8">
        <v>4.78726E-11</v>
      </c>
      <c r="H14" s="8">
        <v>2.0452099999999998E-11</v>
      </c>
      <c r="I14" s="9">
        <v>2.7420499999999999E-11</v>
      </c>
      <c r="J14" s="5">
        <v>16.600000000000001</v>
      </c>
      <c r="K14" s="6" t="s">
        <v>29</v>
      </c>
      <c r="L14">
        <f>SQRT((Q14*10^12)^2-M14^2)</f>
        <v>27.51697839516541</v>
      </c>
      <c r="M14">
        <v>9.8000000000000007</v>
      </c>
      <c r="N14">
        <f>0.04968</f>
        <v>4.9680000000000002E-2</v>
      </c>
      <c r="O14">
        <f>0.92719</f>
        <v>0.92718999999999996</v>
      </c>
      <c r="P14">
        <f>0.0000000005499</f>
        <v>5.4990000000000003E-10</v>
      </c>
      <c r="Q14">
        <f>0.00000000002921</f>
        <v>2.9210000000000002E-11</v>
      </c>
      <c r="S14">
        <f t="shared" ref="S14:S25" si="0">Q14*10^12/L14</f>
        <v>1.0615264358070668</v>
      </c>
      <c r="T14" s="8">
        <v>4.78726E-11</v>
      </c>
      <c r="U14" s="1">
        <f t="shared" ref="U14:U25" si="1">T14*10^12/S14</f>
        <v>45.09788770696322</v>
      </c>
    </row>
    <row r="15" spans="1:22" x14ac:dyDescent="0.4">
      <c r="A15" s="5">
        <v>18.3</v>
      </c>
      <c r="B15" s="6" t="s">
        <v>30</v>
      </c>
      <c r="C15" s="6" t="s">
        <v>24</v>
      </c>
      <c r="D15" s="8">
        <v>5.1851899999999998E-10</v>
      </c>
      <c r="E15" s="6">
        <v>3.62431E-2</v>
      </c>
      <c r="F15" s="8">
        <v>2.2377700000000001E-12</v>
      </c>
      <c r="G15" s="8">
        <v>4.9266499999999997E-11</v>
      </c>
      <c r="H15" s="8">
        <v>2.3875000000000002E-11</v>
      </c>
      <c r="I15" s="9">
        <v>2.5391599999999999E-11</v>
      </c>
      <c r="J15" s="5">
        <v>18.3</v>
      </c>
      <c r="K15" s="6" t="s">
        <v>30</v>
      </c>
      <c r="L15">
        <f>SQRT((Q15*10^12)^2-M15^2)</f>
        <v>29.545090692025305</v>
      </c>
      <c r="M15">
        <v>9.8000000000000007</v>
      </c>
      <c r="N15">
        <f>0.030934</f>
        <v>3.0934E-2</v>
      </c>
      <c r="O15">
        <f>0.91595</f>
        <v>0.91595000000000004</v>
      </c>
      <c r="P15">
        <f>0.00000000051992</f>
        <v>5.1992E-10</v>
      </c>
      <c r="Q15">
        <f>0.000000000031128</f>
        <v>3.1128000000000002E-11</v>
      </c>
      <c r="S15">
        <f t="shared" si="0"/>
        <v>1.053576051753395</v>
      </c>
      <c r="T15" s="8">
        <v>4.9266499999999997E-11</v>
      </c>
      <c r="U15" s="1">
        <f t="shared" si="1"/>
        <v>46.76121853568057</v>
      </c>
    </row>
    <row r="16" spans="1:22" x14ac:dyDescent="0.4">
      <c r="A16" s="5">
        <v>20</v>
      </c>
      <c r="B16" s="6" t="s">
        <v>45</v>
      </c>
      <c r="C16" s="6" t="s">
        <v>24</v>
      </c>
      <c r="D16" s="8">
        <v>5.5555599999999996E-10</v>
      </c>
      <c r="E16" s="6">
        <v>6.9929699999999997E-2</v>
      </c>
      <c r="F16" s="8">
        <v>3.1617000000000001E-12</v>
      </c>
      <c r="G16" s="8">
        <v>3.3962400000000001E-11</v>
      </c>
      <c r="H16" s="8">
        <v>1.79709E-11</v>
      </c>
      <c r="I16" s="9">
        <v>1.5991500000000001E-11</v>
      </c>
      <c r="J16" s="5">
        <v>20</v>
      </c>
      <c r="K16" s="6" t="s">
        <v>45</v>
      </c>
      <c r="L16">
        <f>SQRT((Q16*10^12)^2-M16^2)</f>
        <v>17.79948766116598</v>
      </c>
      <c r="M16">
        <v>9.8000000000000007</v>
      </c>
      <c r="N16">
        <f>0.039161</f>
        <v>3.9161000000000001E-2</v>
      </c>
      <c r="O16">
        <f>0.95347</f>
        <v>0.95347000000000004</v>
      </c>
      <c r="P16">
        <f>0.00000000055501</f>
        <v>5.5501000000000003E-10</v>
      </c>
      <c r="Q16">
        <f>0.000000000020319</f>
        <v>2.0318999999999999E-11</v>
      </c>
      <c r="S16">
        <f t="shared" si="0"/>
        <v>1.1415497112498898</v>
      </c>
      <c r="T16" s="8">
        <v>3.3962400000000001E-11</v>
      </c>
      <c r="U16" s="1">
        <f t="shared" si="1"/>
        <v>29.751135377901644</v>
      </c>
    </row>
    <row r="17" spans="1:21" x14ac:dyDescent="0.4">
      <c r="A17" s="5">
        <v>21.7</v>
      </c>
      <c r="B17" s="6" t="s">
        <v>31</v>
      </c>
      <c r="C17" s="8" t="s">
        <v>24</v>
      </c>
      <c r="D17" s="8">
        <v>3.1999999999999998E-10</v>
      </c>
      <c r="E17" s="8">
        <v>9.8367000000000003E-3</v>
      </c>
      <c r="F17" s="8">
        <v>3.7994100000000002E-13</v>
      </c>
      <c r="G17" s="8">
        <v>3.4490200000000001E-11</v>
      </c>
      <c r="H17" s="8">
        <v>1.7637400000000002E-11</v>
      </c>
      <c r="I17" s="9">
        <v>1.6852799999999999E-11</v>
      </c>
      <c r="J17" s="5">
        <v>21.7</v>
      </c>
      <c r="K17" s="6" t="s">
        <v>31</v>
      </c>
      <c r="L17">
        <f>SQRT((Q17*10^12)^2-M17^2)</f>
        <v>21.683219894655867</v>
      </c>
      <c r="M17">
        <v>9.8000000000000007</v>
      </c>
      <c r="N17">
        <f>0.0029258</f>
        <v>2.9258000000000001E-3</v>
      </c>
      <c r="O17">
        <f>0.22733</f>
        <v>0.22733</v>
      </c>
      <c r="P17">
        <f>0.00000000032043</f>
        <v>3.2043E-10</v>
      </c>
      <c r="Q17">
        <f>0.000000000023795</f>
        <v>2.3795E-11</v>
      </c>
      <c r="S17">
        <f t="shared" si="0"/>
        <v>1.0973923667980978</v>
      </c>
      <c r="T17" s="8">
        <v>3.4490200000000001E-11</v>
      </c>
      <c r="U17" s="1">
        <f t="shared" si="1"/>
        <v>31.429232645961743</v>
      </c>
    </row>
    <row r="18" spans="1:21" x14ac:dyDescent="0.4">
      <c r="A18" s="5">
        <v>23.4</v>
      </c>
      <c r="B18" s="6" t="s">
        <v>32</v>
      </c>
      <c r="C18" s="8" t="s">
        <v>24</v>
      </c>
      <c r="D18" s="8">
        <v>2.6296300000000002E-10</v>
      </c>
      <c r="E18" s="8">
        <v>1.3718299999999999E-2</v>
      </c>
      <c r="F18" s="8">
        <v>5.1802599999999998E-13</v>
      </c>
      <c r="G18" s="8">
        <v>3.3306099999999997E-11</v>
      </c>
      <c r="H18" s="8">
        <v>1.82793E-11</v>
      </c>
      <c r="I18" s="9">
        <v>1.50268E-11</v>
      </c>
      <c r="J18" s="5">
        <v>23.4</v>
      </c>
      <c r="K18" s="6" t="s">
        <v>32</v>
      </c>
      <c r="L18">
        <f>SQRT((Q18*10^12)^2-M18^2)</f>
        <v>16.990261799042415</v>
      </c>
      <c r="M18">
        <v>9.8000000000000007</v>
      </c>
      <c r="N18">
        <f>0.018065</f>
        <v>1.8065000000000001E-2</v>
      </c>
      <c r="O18">
        <f>0.4234</f>
        <v>0.4234</v>
      </c>
      <c r="P18">
        <f>0.00000000026164</f>
        <v>2.6163999999999999E-10</v>
      </c>
      <c r="Q18">
        <f>0.000000000019614</f>
        <v>1.9613999999999999E-11</v>
      </c>
      <c r="R18" s="1"/>
      <c r="S18">
        <f t="shared" si="0"/>
        <v>1.1544260019057189</v>
      </c>
      <c r="T18" s="8">
        <v>3.3306099999999997E-11</v>
      </c>
      <c r="U18" s="1">
        <f t="shared" si="1"/>
        <v>28.850788136284613</v>
      </c>
    </row>
    <row r="19" spans="1:21" x14ac:dyDescent="0.4">
      <c r="A19" s="5">
        <v>25</v>
      </c>
      <c r="B19" s="6" t="s">
        <v>33</v>
      </c>
      <c r="C19" s="6" t="s">
        <v>24</v>
      </c>
      <c r="D19" s="8">
        <v>2.2814799999999999E-10</v>
      </c>
      <c r="E19" s="6">
        <v>1.4000200000000001E-2</v>
      </c>
      <c r="F19" s="8">
        <v>6.1389199999999997E-13</v>
      </c>
      <c r="G19" s="8">
        <v>3.4446299999999998E-11</v>
      </c>
      <c r="H19" s="8">
        <v>1.8483299999999999E-11</v>
      </c>
      <c r="I19" s="9">
        <v>1.5963099999999998E-11</v>
      </c>
      <c r="J19" s="5">
        <v>25</v>
      </c>
      <c r="K19" s="6" t="s">
        <v>33</v>
      </c>
      <c r="L19">
        <f>SQRT((Q19*10^12)^2-M19^2)</f>
        <v>18.362532396159306</v>
      </c>
      <c r="M19">
        <v>9.8000000000000007</v>
      </c>
      <c r="N19">
        <f>0.02424</f>
        <v>2.4240000000000001E-2</v>
      </c>
      <c r="O19">
        <f>0.80385</f>
        <v>0.80384999999999995</v>
      </c>
      <c r="P19">
        <f>0.00000000022708</f>
        <v>2.2708000000000001E-10</v>
      </c>
      <c r="Q19">
        <f>0.000000000020814</f>
        <v>2.0813999999999999E-11</v>
      </c>
      <c r="R19" s="1"/>
      <c r="S19">
        <f t="shared" si="0"/>
        <v>1.1335037864577677</v>
      </c>
      <c r="T19" s="8">
        <v>3.4446299999999998E-11</v>
      </c>
      <c r="U19" s="1">
        <f t="shared" si="1"/>
        <v>30.389223584021444</v>
      </c>
    </row>
    <row r="20" spans="1:21" x14ac:dyDescent="0.4">
      <c r="A20" s="5">
        <v>27.2</v>
      </c>
      <c r="B20" s="6" t="s">
        <v>34</v>
      </c>
      <c r="C20" s="8" t="s">
        <v>24</v>
      </c>
      <c r="D20" s="8">
        <v>2.0000000000000001E-10</v>
      </c>
      <c r="E20" s="8">
        <v>1.31416E-2</v>
      </c>
      <c r="F20" s="8">
        <v>6.3556200000000001E-13</v>
      </c>
      <c r="G20" s="8">
        <v>3.7257400000000001E-11</v>
      </c>
      <c r="H20" s="8">
        <v>1.7860999999999999E-11</v>
      </c>
      <c r="I20" s="9">
        <v>1.9396299999999999E-11</v>
      </c>
      <c r="J20" s="5">
        <v>27.2</v>
      </c>
      <c r="K20" s="6" t="s">
        <v>34</v>
      </c>
      <c r="L20">
        <f>SQRT((Q20*10^12)^2-M20^2)</f>
        <v>19.821718997100124</v>
      </c>
      <c r="M20">
        <v>9.8000000000000007</v>
      </c>
      <c r="N20">
        <f>0.014573</f>
        <v>1.4572999999999999E-2</v>
      </c>
      <c r="O20">
        <f>0.66327</f>
        <v>0.66327000000000003</v>
      </c>
      <c r="P20" s="1">
        <f>0.00000000020013</f>
        <v>2.0013000000000001E-10</v>
      </c>
      <c r="Q20" s="1">
        <f>0.000000000022112</f>
        <v>2.2111999999999999E-11</v>
      </c>
      <c r="S20">
        <f t="shared" si="0"/>
        <v>1.1155440152912539</v>
      </c>
      <c r="T20" s="8">
        <v>3.7257400000000001E-11</v>
      </c>
      <c r="U20" s="1">
        <f t="shared" si="1"/>
        <v>33.398413230940591</v>
      </c>
    </row>
    <row r="21" spans="1:21" x14ac:dyDescent="0.4">
      <c r="A21" s="5">
        <v>28</v>
      </c>
      <c r="B21" s="6" t="s">
        <v>35</v>
      </c>
      <c r="C21" s="6" t="s">
        <v>24</v>
      </c>
      <c r="D21" s="8">
        <v>1.7333300000000001E-10</v>
      </c>
      <c r="E21" s="6">
        <v>1.2911499999999999E-2</v>
      </c>
      <c r="F21" s="8">
        <v>6.2981400000000001E-13</v>
      </c>
      <c r="G21" s="8">
        <v>3.7929000000000003E-11</v>
      </c>
      <c r="H21" s="8">
        <v>1.8179E-11</v>
      </c>
      <c r="I21" s="9">
        <v>1.975E-11</v>
      </c>
      <c r="J21" s="5">
        <v>28</v>
      </c>
      <c r="K21" s="6" t="s">
        <v>35</v>
      </c>
      <c r="L21">
        <f>SQRT((Q21*10^12)^2-M21^2)</f>
        <v>21.040687274896701</v>
      </c>
      <c r="M21">
        <v>9.8000000000000007</v>
      </c>
      <c r="N21">
        <f>0.01735</f>
        <v>1.7350000000000001E-2</v>
      </c>
      <c r="O21">
        <f>0.74792</f>
        <v>0.74792000000000003</v>
      </c>
      <c r="P21" s="1">
        <f>0.00000000017411</f>
        <v>1.7411000000000001E-10</v>
      </c>
      <c r="Q21" s="1">
        <f>0.000000000023211</f>
        <v>2.3210999999999999E-11</v>
      </c>
      <c r="S21">
        <f t="shared" si="0"/>
        <v>1.1031483761318321</v>
      </c>
      <c r="T21" s="8">
        <v>3.7929000000000003E-11</v>
      </c>
      <c r="U21" s="1">
        <f t="shared" si="1"/>
        <v>34.38250086810379</v>
      </c>
    </row>
    <row r="22" spans="1:21" x14ac:dyDescent="0.4">
      <c r="A22" s="5">
        <v>29.6</v>
      </c>
      <c r="B22" s="6" t="s">
        <v>36</v>
      </c>
      <c r="C22" s="6" t="s">
        <v>24</v>
      </c>
      <c r="D22" s="8">
        <v>1.45185E-10</v>
      </c>
      <c r="E22" s="6">
        <v>1.3540099999999999E-2</v>
      </c>
      <c r="F22" s="8">
        <v>5.9051900000000002E-13</v>
      </c>
      <c r="G22" s="8">
        <v>3.7514600000000001E-11</v>
      </c>
      <c r="H22" s="8">
        <v>1.6421300000000001E-11</v>
      </c>
      <c r="I22" s="9">
        <v>2.10933E-11</v>
      </c>
      <c r="J22" s="5">
        <v>29.6</v>
      </c>
      <c r="K22" s="6" t="s">
        <v>36</v>
      </c>
      <c r="L22">
        <f>SQRT((Q22*10^12)^2-M22^2)</f>
        <v>20.972272194495282</v>
      </c>
      <c r="M22">
        <v>9.8000000000000007</v>
      </c>
      <c r="N22">
        <f>0.015448</f>
        <v>1.5448E-2</v>
      </c>
      <c r="O22">
        <f>0.87164</f>
        <v>0.87163999999999997</v>
      </c>
      <c r="P22" s="1">
        <f>0.00000000014712</f>
        <v>1.4712E-10</v>
      </c>
      <c r="Q22" s="1">
        <f>0.000000000023149</f>
        <v>2.3149E-11</v>
      </c>
      <c r="S22">
        <f t="shared" si="0"/>
        <v>1.1037907473886428</v>
      </c>
      <c r="T22" s="8">
        <v>3.7514600000000001E-11</v>
      </c>
      <c r="U22" s="1">
        <f t="shared" si="1"/>
        <v>33.987057862871517</v>
      </c>
    </row>
    <row r="23" spans="1:21" x14ac:dyDescent="0.4">
      <c r="A23" s="5">
        <v>30.1</v>
      </c>
      <c r="B23" s="6" t="s">
        <v>37</v>
      </c>
      <c r="C23" s="8" t="s">
        <v>24</v>
      </c>
      <c r="D23" s="8">
        <v>1.2E-10</v>
      </c>
      <c r="E23" s="8">
        <v>1.41978E-2</v>
      </c>
      <c r="F23" s="8">
        <v>6.3265700000000004E-13</v>
      </c>
      <c r="G23" s="8">
        <v>3.8593800000000002E-11</v>
      </c>
      <c r="H23" s="8">
        <v>1.9045600000000001E-11</v>
      </c>
      <c r="I23" s="9">
        <v>1.9548100000000001E-11</v>
      </c>
      <c r="J23" s="5">
        <v>30.1</v>
      </c>
      <c r="K23" s="6" t="s">
        <v>37</v>
      </c>
      <c r="L23">
        <f>SQRT((Q23*10^12)^2-M23^2)</f>
        <v>20.974479755169135</v>
      </c>
      <c r="M23">
        <v>9.8000000000000007</v>
      </c>
      <c r="N23">
        <f>0.013447</f>
        <v>1.3447000000000001E-2</v>
      </c>
      <c r="O23">
        <f>0.8939</f>
        <v>0.89390000000000003</v>
      </c>
      <c r="P23" s="1">
        <f>0.00000000012038</f>
        <v>1.2038E-10</v>
      </c>
      <c r="Q23" s="1">
        <f>0.000000000023151</f>
        <v>2.3151000000000001E-11</v>
      </c>
      <c r="S23">
        <f t="shared" si="0"/>
        <v>1.1037699275613482</v>
      </c>
      <c r="T23" s="8">
        <v>3.8593800000000002E-11</v>
      </c>
      <c r="U23" s="1">
        <f t="shared" si="1"/>
        <v>34.965438934605267</v>
      </c>
    </row>
    <row r="24" spans="1:21" x14ac:dyDescent="0.4">
      <c r="A24" s="5">
        <v>32.299999999999997</v>
      </c>
      <c r="B24" s="6" t="s">
        <v>38</v>
      </c>
      <c r="C24" s="6" t="s">
        <v>24</v>
      </c>
      <c r="D24" s="8">
        <v>9.3333000000000002E-11</v>
      </c>
      <c r="E24" s="6">
        <v>1.60544E-2</v>
      </c>
      <c r="F24" s="8">
        <v>7.1379499999999999E-13</v>
      </c>
      <c r="G24" s="8">
        <v>3.6348900000000001E-11</v>
      </c>
      <c r="H24" s="8">
        <v>1.73219E-11</v>
      </c>
      <c r="I24" s="9">
        <v>1.9027000000000001E-11</v>
      </c>
      <c r="J24" s="5">
        <v>32.299999999999997</v>
      </c>
      <c r="K24" s="6" t="s">
        <v>38</v>
      </c>
      <c r="L24">
        <f>SQRT((Q24*10^12)^2-M24^2)</f>
        <v>19.721269837411583</v>
      </c>
      <c r="M24">
        <v>9.8000000000000007</v>
      </c>
      <c r="N24">
        <f>0.011389</f>
        <v>1.1389E-2</v>
      </c>
      <c r="O24">
        <f>0.91944</f>
        <v>0.91944000000000004</v>
      </c>
      <c r="P24" s="1">
        <f>0.000000000094262</f>
        <v>9.4261999999999997E-11</v>
      </c>
      <c r="Q24" s="1">
        <f>0.000000000022022</f>
        <v>2.2022E-11</v>
      </c>
      <c r="S24">
        <f t="shared" si="0"/>
        <v>1.1166623742566462</v>
      </c>
      <c r="T24" s="8">
        <v>3.6348900000000001E-11</v>
      </c>
      <c r="U24" s="1">
        <f t="shared" si="1"/>
        <v>32.551378857192347</v>
      </c>
    </row>
    <row r="25" spans="1:21" ht="19.5" thickBot="1" x14ac:dyDescent="0.45">
      <c r="A25" s="10">
        <v>33.6</v>
      </c>
      <c r="B25" s="11" t="s">
        <v>39</v>
      </c>
      <c r="C25" s="12" t="s">
        <v>24</v>
      </c>
      <c r="D25" s="12">
        <v>6.9629999999999996E-11</v>
      </c>
      <c r="E25" s="12">
        <v>1.2211700000000001E-2</v>
      </c>
      <c r="F25" s="12">
        <v>6.2444700000000001E-13</v>
      </c>
      <c r="G25" s="12">
        <v>5.5227800000000003E-11</v>
      </c>
      <c r="H25" s="12">
        <v>1.66602E-11</v>
      </c>
      <c r="I25" s="13">
        <v>3.8567699999999999E-11</v>
      </c>
      <c r="J25" s="10">
        <v>33.6</v>
      </c>
      <c r="K25" s="11" t="s">
        <v>39</v>
      </c>
      <c r="L25">
        <f>SQRT((Q25*10^12)^2-M25^2)</f>
        <v>21.741368494186375</v>
      </c>
      <c r="M25">
        <v>9.8000000000000007</v>
      </c>
      <c r="N25">
        <f>0.012551</f>
        <v>1.2551E-2</v>
      </c>
      <c r="O25">
        <f>0.473</f>
        <v>0.47299999999999998</v>
      </c>
      <c r="P25" s="1">
        <f>0.00000000007248</f>
        <v>7.2480000000000005E-11</v>
      </c>
      <c r="Q25" s="1">
        <f>0.000000000023848</f>
        <v>2.3847999999999999E-11</v>
      </c>
      <c r="S25">
        <f t="shared" si="0"/>
        <v>1.0968950738485912</v>
      </c>
      <c r="T25" s="12">
        <v>5.5227800000000003E-11</v>
      </c>
      <c r="U25" s="1">
        <f t="shared" si="1"/>
        <v>50.349209616035999</v>
      </c>
    </row>
    <row r="29" spans="1:21" x14ac:dyDescent="0.4">
      <c r="E29" s="1"/>
      <c r="G29" s="1"/>
      <c r="H29" s="1"/>
      <c r="I29" s="1"/>
      <c r="J29" s="1"/>
    </row>
  </sheetData>
  <sortState xmlns:xlrd2="http://schemas.microsoft.com/office/spreadsheetml/2017/richdata2" ref="A12:A25">
    <sortCondition ref="A12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48F3-5335-4BB8-B94A-34BBBE2CF1D0}">
  <dimension ref="B2:G18"/>
  <sheetViews>
    <sheetView workbookViewId="0">
      <selection activeCell="G3" sqref="G3:G16"/>
    </sheetView>
  </sheetViews>
  <sheetFormatPr defaultRowHeight="18.75" x14ac:dyDescent="0.4"/>
  <cols>
    <col min="7" max="7" width="9.5" bestFit="1" customWidth="1"/>
  </cols>
  <sheetData>
    <row r="2" spans="2:7" x14ac:dyDescent="0.4">
      <c r="B2" t="s">
        <v>47</v>
      </c>
      <c r="C2" t="s">
        <v>52</v>
      </c>
      <c r="D2" t="s">
        <v>49</v>
      </c>
      <c r="E2" t="s">
        <v>48</v>
      </c>
      <c r="F2" t="s">
        <v>50</v>
      </c>
      <c r="G2" t="s">
        <v>51</v>
      </c>
    </row>
    <row r="3" spans="2:7" x14ac:dyDescent="0.4">
      <c r="B3">
        <v>32.6</v>
      </c>
      <c r="C3" s="1">
        <v>95.888932879900054</v>
      </c>
      <c r="D3">
        <v>9.1</v>
      </c>
      <c r="E3">
        <v>75.048904332057575</v>
      </c>
      <c r="F3" s="5">
        <v>3.01</v>
      </c>
    </row>
    <row r="4" spans="2:7" x14ac:dyDescent="0.4">
      <c r="B4">
        <v>31.3</v>
      </c>
      <c r="C4" s="1">
        <v>82.345340551584698</v>
      </c>
      <c r="D4">
        <v>10.8</v>
      </c>
      <c r="E4">
        <v>73.864377101498931</v>
      </c>
      <c r="F4" s="5">
        <v>14.8</v>
      </c>
      <c r="G4" s="1">
        <v>50.64549055394064</v>
      </c>
    </row>
    <row r="5" spans="2:7" x14ac:dyDescent="0.4">
      <c r="B5">
        <v>30</v>
      </c>
      <c r="C5" s="1">
        <v>78.388122119508168</v>
      </c>
      <c r="D5">
        <v>12.6</v>
      </c>
      <c r="E5">
        <v>78.122243080246491</v>
      </c>
      <c r="F5" s="5">
        <v>16.600000000000001</v>
      </c>
      <c r="G5" s="1">
        <v>45.09788770696322</v>
      </c>
    </row>
    <row r="6" spans="2:7" x14ac:dyDescent="0.4">
      <c r="B6">
        <v>28.6</v>
      </c>
      <c r="C6" s="1">
        <v>77.548556704640802</v>
      </c>
      <c r="D6">
        <v>14.4</v>
      </c>
      <c r="E6">
        <v>81.793733537867752</v>
      </c>
      <c r="F6" s="5">
        <v>18.3</v>
      </c>
      <c r="G6" s="1">
        <v>46.76121853568057</v>
      </c>
    </row>
    <row r="7" spans="2:7" x14ac:dyDescent="0.4">
      <c r="B7">
        <v>27.2</v>
      </c>
      <c r="C7" s="1">
        <v>77.324557082692223</v>
      </c>
      <c r="D7">
        <v>16.100000000000001</v>
      </c>
      <c r="E7">
        <v>86.055938913256469</v>
      </c>
      <c r="F7" s="5">
        <v>20</v>
      </c>
      <c r="G7" s="1">
        <v>29.751135377901644</v>
      </c>
    </row>
    <row r="8" spans="2:7" x14ac:dyDescent="0.4">
      <c r="B8">
        <v>25.7</v>
      </c>
      <c r="C8" s="1">
        <v>71.828986609571757</v>
      </c>
      <c r="D8">
        <v>17.8</v>
      </c>
      <c r="E8">
        <v>90.702729386178703</v>
      </c>
      <c r="F8" s="5">
        <v>21.7</v>
      </c>
      <c r="G8" s="1">
        <v>31.429232645961743</v>
      </c>
    </row>
    <row r="9" spans="2:7" x14ac:dyDescent="0.4">
      <c r="B9">
        <v>24.2</v>
      </c>
      <c r="C9" s="1">
        <v>70.517752534699014</v>
      </c>
      <c r="D9">
        <v>19.399999999999999</v>
      </c>
      <c r="E9">
        <v>96.261249582154718</v>
      </c>
      <c r="F9" s="5">
        <v>23.4</v>
      </c>
      <c r="G9" s="1">
        <v>28.850788136284613</v>
      </c>
    </row>
    <row r="10" spans="2:7" x14ac:dyDescent="0.4">
      <c r="B10">
        <v>23.1</v>
      </c>
      <c r="C10" s="1">
        <v>63.218082177789221</v>
      </c>
      <c r="D10">
        <v>21.1</v>
      </c>
      <c r="E10">
        <v>103.44718414125312</v>
      </c>
      <c r="F10" s="5">
        <v>25</v>
      </c>
      <c r="G10" s="1">
        <v>30.389223584021444</v>
      </c>
    </row>
    <row r="11" spans="2:7" x14ac:dyDescent="0.4">
      <c r="B11">
        <v>21.1</v>
      </c>
      <c r="C11" s="1">
        <v>62.075176902975954</v>
      </c>
      <c r="D11">
        <v>23.1</v>
      </c>
      <c r="E11">
        <v>108.50603214506427</v>
      </c>
      <c r="F11" s="5">
        <v>27.2</v>
      </c>
      <c r="G11" s="1">
        <v>33.398413230940591</v>
      </c>
    </row>
    <row r="12" spans="2:7" x14ac:dyDescent="0.4">
      <c r="B12">
        <v>19.399999999999999</v>
      </c>
      <c r="C12" s="1">
        <v>60.416837926067693</v>
      </c>
      <c r="D12">
        <v>24.2</v>
      </c>
      <c r="E12">
        <v>114.23168412461962</v>
      </c>
      <c r="F12" s="5">
        <v>28</v>
      </c>
      <c r="G12" s="1">
        <v>34.38250086810379</v>
      </c>
    </row>
    <row r="13" spans="2:7" x14ac:dyDescent="0.4">
      <c r="B13">
        <v>17.8</v>
      </c>
      <c r="C13" s="1">
        <v>63.952711000870373</v>
      </c>
      <c r="D13">
        <v>25.7</v>
      </c>
      <c r="E13">
        <v>129.13602748391187</v>
      </c>
      <c r="F13" s="5">
        <v>29.6</v>
      </c>
      <c r="G13" s="1">
        <v>33.987057862871517</v>
      </c>
    </row>
    <row r="14" spans="2:7" x14ac:dyDescent="0.4">
      <c r="B14">
        <v>16.100000000000001</v>
      </c>
      <c r="C14" s="1">
        <v>61.098287449968858</v>
      </c>
      <c r="D14">
        <v>27.2</v>
      </c>
      <c r="E14">
        <v>139.74328630520108</v>
      </c>
      <c r="F14" s="5">
        <v>30.1</v>
      </c>
      <c r="G14" s="1">
        <v>34.965438934605267</v>
      </c>
    </row>
    <row r="15" spans="2:7" x14ac:dyDescent="0.4">
      <c r="B15">
        <v>14.4</v>
      </c>
      <c r="C15" s="1">
        <v>57.924141606608963</v>
      </c>
      <c r="D15">
        <v>28.6</v>
      </c>
      <c r="E15">
        <v>136.40774343780555</v>
      </c>
      <c r="F15" s="5">
        <v>32.299999999999997</v>
      </c>
      <c r="G15" s="1">
        <v>32.551378857192347</v>
      </c>
    </row>
    <row r="16" spans="2:7" ht="19.5" thickBot="1" x14ac:dyDescent="0.45">
      <c r="B16">
        <v>12.6</v>
      </c>
      <c r="C16" s="1">
        <v>54.811540792841278</v>
      </c>
      <c r="D16">
        <v>30</v>
      </c>
      <c r="E16">
        <v>140.89791798427663</v>
      </c>
      <c r="F16" s="10">
        <v>33.6</v>
      </c>
      <c r="G16" s="1">
        <v>50.349209616035999</v>
      </c>
    </row>
    <row r="17" spans="2:5" x14ac:dyDescent="0.4">
      <c r="B17">
        <v>10.8</v>
      </c>
      <c r="C17" s="1">
        <v>55.786154638203314</v>
      </c>
      <c r="D17">
        <v>31.3</v>
      </c>
      <c r="E17">
        <v>147.87584693834958</v>
      </c>
    </row>
    <row r="18" spans="2:5" x14ac:dyDescent="0.4">
      <c r="B18">
        <v>9.1</v>
      </c>
      <c r="C18" s="1">
        <v>59.59295263246257</v>
      </c>
      <c r="D18">
        <v>32.6</v>
      </c>
      <c r="E18">
        <v>158.82757677809079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L100</vt:lpstr>
      <vt:lpstr>L200</vt:lpstr>
      <vt:lpstr>L300</vt:lpstr>
      <vt:lpstr>コンボリューション後まとめ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2018-12-18T14:53:22Z</dcterms:created>
  <dcterms:modified xsi:type="dcterms:W3CDTF">2018-12-19T12:42:08Z</dcterms:modified>
</cp:coreProperties>
</file>