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0F14CAC4-7338-1249-BE7D-A28F6585CE46}" xr6:coauthVersionLast="40" xr6:coauthVersionMax="40" xr10:uidLastSave="{00000000-0000-0000-0000-000000000000}"/>
  <bookViews>
    <workbookView xWindow="100" yWindow="540" windowWidth="23800" windowHeight="15000" activeTab="1" xr2:uid="{CEC327A6-7811-CC4A-AEB1-AF6C65100CF1}"/>
  </bookViews>
  <sheets>
    <sheet name="格子定数" sheetId="1" r:id="rId1"/>
    <sheet name="Eg" sheetId="2" r:id="rId2"/>
    <sheet name="屈折率" sheetId="3" r:id="rId3"/>
    <sheet name="SEO法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3" i="2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T16" i="3"/>
  <c r="S59" i="3" s="1"/>
  <c r="T59" i="3" s="1"/>
  <c r="P21" i="3"/>
  <c r="S21" i="3"/>
  <c r="T21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T14" i="3"/>
  <c r="T13" i="3"/>
  <c r="T12" i="3"/>
  <c r="Q16" i="3"/>
  <c r="N16" i="3"/>
  <c r="Q14" i="3"/>
  <c r="Q13" i="3"/>
  <c r="Q12" i="3"/>
  <c r="K13" i="3"/>
  <c r="N13" i="3"/>
  <c r="C2" i="4"/>
  <c r="G4" i="4"/>
  <c r="H4" i="4" s="1"/>
  <c r="G5" i="4"/>
  <c r="G6" i="4"/>
  <c r="G7" i="4"/>
  <c r="H7" i="4" s="1"/>
  <c r="G8" i="4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H40" i="4" s="1"/>
  <c r="G41" i="4"/>
  <c r="G42" i="4"/>
  <c r="G43" i="4"/>
  <c r="H43" i="4" s="1"/>
  <c r="G3" i="4"/>
  <c r="H3" i="4" s="1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H24" i="4"/>
  <c r="H25" i="4"/>
  <c r="H26" i="4"/>
  <c r="H28" i="4"/>
  <c r="H29" i="4"/>
  <c r="H30" i="4"/>
  <c r="H32" i="4"/>
  <c r="H33" i="4"/>
  <c r="H34" i="4"/>
  <c r="H36" i="4"/>
  <c r="H37" i="4"/>
  <c r="H38" i="4"/>
  <c r="H41" i="4"/>
  <c r="H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3" i="2"/>
  <c r="G4" i="2"/>
  <c r="L6" i="1"/>
  <c r="L5" i="1"/>
  <c r="I6" i="1"/>
  <c r="I5" i="1"/>
  <c r="F6" i="1"/>
  <c r="F5" i="1"/>
  <c r="F4" i="1"/>
  <c r="K13" i="1"/>
  <c r="H13" i="1"/>
  <c r="E13" i="1"/>
  <c r="L4" i="1"/>
  <c r="I4" i="1"/>
  <c r="K14" i="3" l="1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N17" i="3" s="1"/>
  <c r="I56" i="3"/>
  <c r="I59" i="3"/>
  <c r="I55" i="3"/>
  <c r="I51" i="3"/>
  <c r="I47" i="3"/>
  <c r="I43" i="3"/>
  <c r="I39" i="3"/>
  <c r="I35" i="3"/>
  <c r="I31" i="3"/>
  <c r="I27" i="3"/>
  <c r="P31" i="3" l="1"/>
  <c r="Q31" i="3" s="1"/>
  <c r="M31" i="3"/>
  <c r="N31" i="3" s="1"/>
  <c r="M28" i="3"/>
  <c r="N28" i="3" s="1"/>
  <c r="P28" i="3"/>
  <c r="Q28" i="3" s="1"/>
  <c r="M35" i="3"/>
  <c r="N35" i="3" s="1"/>
  <c r="P35" i="3"/>
  <c r="Q35" i="3" s="1"/>
  <c r="P55" i="3"/>
  <c r="Q55" i="3" s="1"/>
  <c r="M55" i="3"/>
  <c r="N55" i="3" s="1"/>
  <c r="P61" i="3"/>
  <c r="Q61" i="3" s="1"/>
  <c r="M61" i="3"/>
  <c r="N61" i="3" s="1"/>
  <c r="P41" i="3"/>
  <c r="Q41" i="3" s="1"/>
  <c r="M41" i="3"/>
  <c r="N41" i="3" s="1"/>
  <c r="P46" i="3"/>
  <c r="Q46" i="3" s="1"/>
  <c r="M46" i="3"/>
  <c r="N46" i="3" s="1"/>
  <c r="P50" i="3"/>
  <c r="Q50" i="3" s="1"/>
  <c r="M50" i="3"/>
  <c r="N50" i="3" s="1"/>
  <c r="P38" i="3"/>
  <c r="Q38" i="3" s="1"/>
  <c r="M38" i="3"/>
  <c r="N38" i="3" s="1"/>
  <c r="M56" i="3"/>
  <c r="N56" i="3" s="1"/>
  <c r="P56" i="3"/>
  <c r="Q56" i="3" s="1"/>
  <c r="P57" i="3"/>
  <c r="Q57" i="3" s="1"/>
  <c r="M57" i="3"/>
  <c r="N57" i="3" s="1"/>
  <c r="P39" i="3"/>
  <c r="Q39" i="3" s="1"/>
  <c r="M39" i="3"/>
  <c r="N39" i="3" s="1"/>
  <c r="P29" i="3"/>
  <c r="Q29" i="3" s="1"/>
  <c r="M29" i="3"/>
  <c r="N29" i="3" s="1"/>
  <c r="M36" i="3"/>
  <c r="N36" i="3" s="1"/>
  <c r="P36" i="3"/>
  <c r="Q36" i="3" s="1"/>
  <c r="M52" i="3"/>
  <c r="N52" i="3" s="1"/>
  <c r="P52" i="3"/>
  <c r="Q52" i="3" s="1"/>
  <c r="M27" i="3"/>
  <c r="N27" i="3" s="1"/>
  <c r="P27" i="3"/>
  <c r="Q27" i="3" s="1"/>
  <c r="M43" i="3"/>
  <c r="N43" i="3" s="1"/>
  <c r="P43" i="3"/>
  <c r="Q43" i="3" s="1"/>
  <c r="M59" i="3"/>
  <c r="N59" i="3" s="1"/>
  <c r="P59" i="3"/>
  <c r="Q59" i="3" s="1"/>
  <c r="P37" i="3"/>
  <c r="Q37" i="3" s="1"/>
  <c r="M37" i="3"/>
  <c r="N37" i="3" s="1"/>
  <c r="M24" i="3"/>
  <c r="N24" i="3" s="1"/>
  <c r="P24" i="3"/>
  <c r="Q24" i="3" s="1"/>
  <c r="M40" i="3"/>
  <c r="N40" i="3" s="1"/>
  <c r="P40" i="3"/>
  <c r="Q40" i="3" s="1"/>
  <c r="M60" i="3"/>
  <c r="N60" i="3" s="1"/>
  <c r="P60" i="3"/>
  <c r="Q60" i="3" s="1"/>
  <c r="P49" i="3"/>
  <c r="Q49" i="3" s="1"/>
  <c r="M49" i="3"/>
  <c r="N49" i="3" s="1"/>
  <c r="P58" i="3"/>
  <c r="Q58" i="3" s="1"/>
  <c r="M58" i="3"/>
  <c r="N58" i="3" s="1"/>
  <c r="P34" i="3"/>
  <c r="Q34" i="3" s="1"/>
  <c r="M34" i="3"/>
  <c r="N34" i="3" s="1"/>
  <c r="P22" i="3"/>
  <c r="Q22" i="3" s="1"/>
  <c r="M22" i="3"/>
  <c r="N22" i="3" s="1"/>
  <c r="P45" i="3"/>
  <c r="Q45" i="3" s="1"/>
  <c r="M45" i="3"/>
  <c r="N45" i="3" s="1"/>
  <c r="P25" i="3"/>
  <c r="Q25" i="3" s="1"/>
  <c r="M25" i="3"/>
  <c r="N25" i="3" s="1"/>
  <c r="P42" i="3"/>
  <c r="Q42" i="3" s="1"/>
  <c r="M42" i="3"/>
  <c r="N42" i="3" s="1"/>
  <c r="P30" i="3"/>
  <c r="Q30" i="3" s="1"/>
  <c r="M30" i="3"/>
  <c r="N30" i="3" s="1"/>
  <c r="M23" i="3"/>
  <c r="N23" i="3" s="1"/>
  <c r="P23" i="3"/>
  <c r="Q23" i="3" s="1"/>
  <c r="M47" i="3"/>
  <c r="N47" i="3" s="1"/>
  <c r="P47" i="3"/>
  <c r="Q47" i="3" s="1"/>
  <c r="M44" i="3"/>
  <c r="N44" i="3" s="1"/>
  <c r="P44" i="3"/>
  <c r="Q44" i="3" s="1"/>
  <c r="M51" i="3"/>
  <c r="N51" i="3" s="1"/>
  <c r="P51" i="3"/>
  <c r="Q51" i="3" s="1"/>
  <c r="P53" i="3"/>
  <c r="Q53" i="3" s="1"/>
  <c r="M53" i="3"/>
  <c r="N53" i="3" s="1"/>
  <c r="M32" i="3"/>
  <c r="N32" i="3" s="1"/>
  <c r="P32" i="3"/>
  <c r="Q32" i="3" s="1"/>
  <c r="M48" i="3"/>
  <c r="N48" i="3" s="1"/>
  <c r="P48" i="3"/>
  <c r="Q48" i="3" s="1"/>
  <c r="P33" i="3"/>
  <c r="Q33" i="3" s="1"/>
  <c r="M33" i="3"/>
  <c r="N33" i="3" s="1"/>
  <c r="Q21" i="3"/>
  <c r="M21" i="3"/>
  <c r="P26" i="3"/>
  <c r="Q26" i="3" s="1"/>
  <c r="M26" i="3"/>
  <c r="N26" i="3" s="1"/>
  <c r="P54" i="3"/>
  <c r="Q54" i="3" s="1"/>
  <c r="M54" i="3"/>
  <c r="N54" i="3" s="1"/>
  <c r="N18" i="3"/>
  <c r="K16" i="3"/>
  <c r="J24" i="3" s="1"/>
  <c r="K24" i="3" s="1"/>
  <c r="J30" i="3"/>
  <c r="K30" i="3" s="1"/>
  <c r="J35" i="3"/>
  <c r="K35" i="3" s="1"/>
  <c r="J28" i="3"/>
  <c r="K28" i="3" s="1"/>
  <c r="J48" i="3"/>
  <c r="K48" i="3" s="1"/>
  <c r="N21" i="3"/>
  <c r="J44" i="3" l="1"/>
  <c r="K44" i="3" s="1"/>
  <c r="J27" i="3"/>
  <c r="K27" i="3" s="1"/>
  <c r="J21" i="3"/>
  <c r="K21" i="3" s="1"/>
  <c r="J36" i="3"/>
  <c r="K36" i="3" s="1"/>
  <c r="J51" i="3"/>
  <c r="K51" i="3" s="1"/>
  <c r="J50" i="3"/>
  <c r="K50" i="3" s="1"/>
  <c r="J45" i="3"/>
  <c r="K45" i="3" s="1"/>
  <c r="J60" i="3"/>
  <c r="K60" i="3" s="1"/>
  <c r="J55" i="3"/>
  <c r="K55" i="3" s="1"/>
  <c r="J52" i="3"/>
  <c r="K52" i="3" s="1"/>
  <c r="J32" i="3"/>
  <c r="K32" i="3" s="1"/>
  <c r="J43" i="3"/>
  <c r="K43" i="3" s="1"/>
  <c r="J46" i="3"/>
  <c r="K46" i="3" s="1"/>
  <c r="J41" i="3"/>
  <c r="K41" i="3" s="1"/>
  <c r="J23" i="3"/>
  <c r="K23" i="3" s="1"/>
  <c r="J38" i="3"/>
  <c r="K38" i="3" s="1"/>
  <c r="J61" i="3"/>
  <c r="K61" i="3" s="1"/>
  <c r="J29" i="3"/>
  <c r="K29" i="3" s="1"/>
  <c r="J56" i="3"/>
  <c r="K56" i="3" s="1"/>
  <c r="J40" i="3"/>
  <c r="K40" i="3" s="1"/>
  <c r="J59" i="3"/>
  <c r="K59" i="3" s="1"/>
  <c r="J39" i="3"/>
  <c r="K39" i="3" s="1"/>
  <c r="J54" i="3"/>
  <c r="K54" i="3" s="1"/>
  <c r="J34" i="3"/>
  <c r="K34" i="3" s="1"/>
  <c r="J57" i="3"/>
  <c r="K57" i="3" s="1"/>
  <c r="J22" i="3"/>
  <c r="K22" i="3" s="1"/>
  <c r="J47" i="3"/>
  <c r="K47" i="3" s="1"/>
  <c r="J31" i="3"/>
  <c r="K31" i="3" s="1"/>
  <c r="J58" i="3"/>
  <c r="K58" i="3" s="1"/>
  <c r="J42" i="3"/>
  <c r="K42" i="3" s="1"/>
  <c r="J26" i="3"/>
  <c r="K26" i="3" s="1"/>
  <c r="J53" i="3"/>
  <c r="K53" i="3" s="1"/>
  <c r="J37" i="3"/>
  <c r="K37" i="3" s="1"/>
  <c r="K17" i="3"/>
  <c r="K18" i="3" s="1"/>
  <c r="J49" i="3"/>
  <c r="K49" i="3" s="1"/>
  <c r="J33" i="3"/>
  <c r="K33" i="3" s="1"/>
  <c r="J25" i="3"/>
  <c r="K25" i="3" s="1"/>
</calcChain>
</file>

<file path=xl/sharedStrings.xml><?xml version="1.0" encoding="utf-8"?>
<sst xmlns="http://schemas.openxmlformats.org/spreadsheetml/2006/main" count="129" uniqueCount="67">
  <si>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</si>
  <si>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</si>
  <si>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</si>
  <si>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</si>
  <si>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</si>
  <si>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</si>
  <si>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</si>
  <si>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</si>
  <si>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</si>
  <si>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</si>
  <si>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</si>
  <si>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</si>
  <si>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</si>
  <si>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</si>
  <si>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</si>
  <si>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</si>
  <si>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</si>
  <si>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</si>
  <si>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</si>
  <si>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</si>
  <si>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</si>
  <si>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</si>
  <si>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</si>
  <si>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</si>
  <si>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</si>
  <si>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</si>
  <si>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</si>
  <si>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</si>
  <si>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</si>
  <si>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</si>
  <si>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</si>
  <si>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</si>
  <si>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</si>
  <si>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</si>
  <si>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</si>
  <si>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</si>
  <si>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</si>
  <si>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</si>
  <si>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</si>
  <si>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</si>
  <si>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</si>
  <si>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</si>
  <si>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</si>
  <si>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</si>
  <si>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</si>
  <si>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</si>
  <si>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</si>
  <si>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</si>
  <si>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</si>
  <si>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</si>
  <si>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</si>
  <si>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</si>
  <si>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</si>
  <si>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</si>
  <si>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</si>
  <si>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</si>
  <si>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</si>
  <si>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</si>
  <si>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</si>
  <si>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</si>
  <si>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</si>
  <si>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</si>
  <si>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</si>
  <si>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</si>
  <si>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</si>
  <si>
    <t>GaAs(x)P(1-x)</t>
    <phoneticPr fontId="1"/>
  </si>
  <si>
    <t>2.750-1.502x+0.176x^2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</si>
</sst>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3.3856498350161273</c:v>
                </c:pt>
                <c:pt idx="1">
                  <c:v>3.3762049277035535</c:v>
                </c:pt>
                <c:pt idx="2">
                  <c:v>3.3672966522724908</c:v>
                </c:pt>
                <c:pt idx="3">
                  <c:v>3.3588764675432401</c:v>
                </c:pt>
                <c:pt idx="4">
                  <c:v>3.350902336325567</c:v>
                </c:pt>
                <c:pt idx="5">
                  <c:v>3.3433375388825017</c:v>
                </c:pt>
                <c:pt idx="6">
                  <c:v>3.336149758473379</c:v>
                </c:pt>
                <c:pt idx="7">
                  <c:v>3.3293103651527352</c:v>
                </c:pt>
                <c:pt idx="8">
                  <c:v>3.3227938467567304</c:v>
                </c:pt>
                <c:pt idx="9">
                  <c:v>3.3165773510080965</c:v>
                </c:pt>
                <c:pt idx="10">
                  <c:v>3.3106403127837454</c:v>
                </c:pt>
                <c:pt idx="11">
                  <c:v>3.3049641475482847</c:v>
                </c:pt>
                <c:pt idx="12">
                  <c:v>3.2995319968347792</c:v>
                </c:pt>
                <c:pt idx="13">
                  <c:v>3.2943285151314385</c:v>
                </c:pt>
                <c:pt idx="14">
                  <c:v>3.2893396900502792</c:v>
                </c:pt>
                <c:pt idx="15">
                  <c:v>3.2845526895020232</c:v>
                </c:pt>
                <c:pt idx="16">
                  <c:v>3.2799557309763689</c:v>
                </c:pt>
                <c:pt idx="17">
                  <c:v>3.2755379690617725</c:v>
                </c:pt>
                <c:pt idx="18">
                  <c:v>3.2712893981268474</c:v>
                </c:pt>
                <c:pt idx="19">
                  <c:v>3.2672007676916119</c:v>
                </c:pt>
                <c:pt idx="20">
                  <c:v>3.2632635084875776</c:v>
                </c:pt>
                <c:pt idx="21">
                  <c:v>3.2594696675745944</c:v>
                </c:pt>
                <c:pt idx="22">
                  <c:v>3.2558118511739877</c:v>
                </c:pt>
                <c:pt idx="23">
                  <c:v>3.2522831741097602</c:v>
                </c:pt>
                <c:pt idx="24">
                  <c:v>3.2488772149360741</c:v>
                </c:pt>
                <c:pt idx="25">
                  <c:v>3.2455879759798463</c:v>
                </c:pt>
                <c:pt idx="26">
                  <c:v>3.242409847649836</c:v>
                </c:pt>
                <c:pt idx="27">
                  <c:v>3.2393375764638832</c:v>
                </c:pt>
                <c:pt idx="28">
                  <c:v>3.2363662363285393</c:v>
                </c:pt>
                <c:pt idx="29">
                  <c:v>3.233491202673652</c:v>
                </c:pt>
                <c:pt idx="30">
                  <c:v>3.2307081291013624</c:v>
                </c:pt>
                <c:pt idx="31">
                  <c:v>3.228012926256512</c:v>
                </c:pt>
                <c:pt idx="32">
                  <c:v>3.225401742665416</c:v>
                </c:pt>
                <c:pt idx="33">
                  <c:v>3.222870947323683</c:v>
                </c:pt>
                <c:pt idx="34">
                  <c:v>3.2204171138423172</c:v>
                </c:pt>
                <c:pt idx="35">
                  <c:v>3.2180370059856727</c:v>
                </c:pt>
                <c:pt idx="36">
                  <c:v>3.2157275644555599</c:v>
                </c:pt>
                <c:pt idx="37">
                  <c:v>3.2134858947936396</c:v>
                </c:pt>
                <c:pt idx="38">
                  <c:v>3.2113092562895091</c:v>
                </c:pt>
                <c:pt idx="39">
                  <c:v>3.2091950517951338</c:v>
                </c:pt>
                <c:pt idx="40">
                  <c:v>3.2071408183576815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3.2737379360804435</c:v>
                </c:pt>
                <c:pt idx="1">
                  <c:v>3.2670904133119403</c:v>
                </c:pt>
                <c:pt idx="2">
                  <c:v>3.2607633099535547</c:v>
                </c:pt>
                <c:pt idx="3">
                  <c:v>3.2547341975351611</c:v>
                </c:pt>
                <c:pt idx="4">
                  <c:v>3.2489827944400944</c:v>
                </c:pt>
                <c:pt idx="5">
                  <c:v>3.243490697656902</c:v>
                </c:pt>
                <c:pt idx="6">
                  <c:v>3.2382411564358433</c:v>
                </c:pt>
                <c:pt idx="7">
                  <c:v>3.2332188799867723</c:v>
                </c:pt>
                <c:pt idx="8">
                  <c:v>3.2284098730676218</c:v>
                </c:pt>
                <c:pt idx="9">
                  <c:v>3.2238012946040988</c:v>
                </c:pt>
                <c:pt idx="10">
                  <c:v>3.2193813354659757</c:v>
                </c:pt>
                <c:pt idx="11">
                  <c:v>3.2151391122841</c:v>
                </c:pt>
                <c:pt idx="12">
                  <c:v>3.2110645747825006</c:v>
                </c:pt>
                <c:pt idx="13">
                  <c:v>3.2071484245633082</c:v>
                </c:pt>
                <c:pt idx="14">
                  <c:v>3.20338204364892</c:v>
                </c:pt>
                <c:pt idx="15">
                  <c:v>3.199757431378448</c:v>
                </c:pt>
                <c:pt idx="16">
                  <c:v>3.1962671484905689</c:v>
                </c:pt>
                <c:pt idx="17">
                  <c:v>3.1929042674151886</c:v>
                </c:pt>
                <c:pt idx="18">
                  <c:v>3.1896623279512424</c:v>
                </c:pt>
                <c:pt idx="19">
                  <c:v>3.1865352976349426</c:v>
                </c:pt>
                <c:pt idx="20">
                  <c:v>3.1835175362073951</c:v>
                </c:pt>
                <c:pt idx="21">
                  <c:v>3.1806037636771869</c:v>
                </c:pt>
                <c:pt idx="22">
                  <c:v>3.1777890315457653</c:v>
                </c:pt>
                <c:pt idx="23">
                  <c:v>3.1750686968238018</c:v>
                </c:pt>
                <c:pt idx="24">
                  <c:v>3.1724383985175577</c:v>
                </c:pt>
                <c:pt idx="25">
                  <c:v>3.1698940363071086</c:v>
                </c:pt>
                <c:pt idx="26">
                  <c:v>3.1674317511746519</c:v>
                </c:pt>
                <c:pt idx="27">
                  <c:v>3.1650479077720552</c:v>
                </c:pt>
                <c:pt idx="28">
                  <c:v>3.1627390783432197</c:v>
                </c:pt>
                <c:pt idx="29">
                  <c:v>3.1605020280394887</c:v>
                </c:pt>
                <c:pt idx="30">
                  <c:v>3.1583337014858275</c:v>
                </c:pt>
                <c:pt idx="31">
                  <c:v>3.1562312104722823</c:v>
                </c:pt>
                <c:pt idx="32">
                  <c:v>3.1541918226598247</c:v>
                </c:pt>
                <c:pt idx="33">
                  <c:v>3.1522129512022716</c:v>
                </c:pt>
                <c:pt idx="34">
                  <c:v>3.1502921451970045</c:v>
                </c:pt>
                <c:pt idx="35">
                  <c:v>3.1484270808867865</c:v>
                </c:pt>
                <c:pt idx="36">
                  <c:v>3.1466155535433877</c:v>
                </c:pt>
                <c:pt idx="37">
                  <c:v>3.1448554699710973</c:v>
                </c:pt>
                <c:pt idx="38">
                  <c:v>3.1431448415746557</c:v>
                </c:pt>
                <c:pt idx="39">
                  <c:v>3.1414817779418964</c:v>
                </c:pt>
                <c:pt idx="40">
                  <c:v>3.139864480896378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L13"/>
  <sheetViews>
    <sheetView topLeftCell="C1" workbookViewId="0">
      <selection activeCell="E1" sqref="E1:F3"/>
    </sheetView>
  </sheetViews>
  <sheetFormatPr baseColWidth="10" defaultRowHeight="20"/>
  <cols>
    <col min="1" max="3" width="10.7109375" style="5"/>
    <col min="4" max="4" width="22.140625" style="5" bestFit="1" customWidth="1"/>
    <col min="5" max="16384" width="10.7109375" style="5"/>
  </cols>
  <sheetData>
    <row r="1" spans="3:12">
      <c r="C1" s="7"/>
      <c r="D1" s="4" t="s">
        <v>3</v>
      </c>
      <c r="E1" s="7"/>
      <c r="F1" s="1" t="s">
        <v>5</v>
      </c>
      <c r="I1" s="5" t="s">
        <v>6</v>
      </c>
      <c r="L1" s="5" t="s">
        <v>7</v>
      </c>
    </row>
    <row r="2" spans="3:12">
      <c r="C2" s="37" t="s">
        <v>4</v>
      </c>
      <c r="D2" s="5">
        <v>5.8686999999999996</v>
      </c>
      <c r="E2" s="8" t="s">
        <v>0</v>
      </c>
      <c r="F2" s="2">
        <v>0.745</v>
      </c>
      <c r="H2" s="5" t="s">
        <v>0</v>
      </c>
      <c r="I2" s="5">
        <v>1</v>
      </c>
      <c r="K2" s="5" t="s">
        <v>0</v>
      </c>
      <c r="L2" s="5">
        <v>1</v>
      </c>
    </row>
    <row r="3" spans="3:12">
      <c r="C3" s="37"/>
      <c r="D3" s="5">
        <v>0.41760000000000003</v>
      </c>
      <c r="E3" s="8" t="s">
        <v>1</v>
      </c>
      <c r="F3" s="2">
        <v>1</v>
      </c>
      <c r="H3" s="5" t="s">
        <v>1</v>
      </c>
      <c r="I3" s="5">
        <v>1</v>
      </c>
      <c r="K3" s="5" t="s">
        <v>1</v>
      </c>
      <c r="L3" s="5">
        <v>0.71</v>
      </c>
    </row>
    <row r="4" spans="3:12">
      <c r="C4" s="37"/>
      <c r="D4" s="5">
        <v>0.18959999999999999</v>
      </c>
      <c r="E4" s="8" t="s">
        <v>2</v>
      </c>
      <c r="F4" s="2">
        <f>$D$2-$D$3*F2+$D$4*F3+$D$5*F2*F3</f>
        <v>5.7565004999999996</v>
      </c>
      <c r="H4" s="5" t="s">
        <v>2</v>
      </c>
      <c r="I4" s="5">
        <f>D2-D3*I2+D4*I3+D5*I2*I3</f>
        <v>5.6531999999999991</v>
      </c>
      <c r="K4" s="5" t="s">
        <v>2</v>
      </c>
      <c r="L4" s="5">
        <f>$D$2-$D$3*L2+$D$4*L3+$D$5*L2*L3</f>
        <v>5.5945909999999994</v>
      </c>
    </row>
    <row r="5" spans="3:12" ht="21" thickBot="1">
      <c r="C5" s="38"/>
      <c r="D5" s="6">
        <v>1.2500000000000001E-2</v>
      </c>
      <c r="E5" s="8" t="s">
        <v>12</v>
      </c>
      <c r="F5" s="2">
        <f>F4-I4</f>
        <v>0.10330050000000046</v>
      </c>
      <c r="H5" s="11" t="s">
        <v>12</v>
      </c>
      <c r="I5" s="5">
        <f>I4-I4</f>
        <v>0</v>
      </c>
      <c r="K5" s="5" t="s">
        <v>12</v>
      </c>
      <c r="L5" s="5">
        <f>L4-I4</f>
        <v>-5.8608999999999689E-2</v>
      </c>
    </row>
    <row r="6" spans="3:12" ht="21" thickBot="1">
      <c r="E6" s="10" t="s">
        <v>14</v>
      </c>
      <c r="F6" s="3">
        <f>-1*F5/I4</f>
        <v>-1.8272925068987561E-2</v>
      </c>
      <c r="H6" s="12" t="s">
        <v>15</v>
      </c>
      <c r="I6" s="5">
        <f>I5/I4*-1</f>
        <v>0</v>
      </c>
      <c r="K6" s="12" t="s">
        <v>16</v>
      </c>
      <c r="L6" s="5">
        <f>L5/I4*-1</f>
        <v>1.0367402533078557E-2</v>
      </c>
    </row>
    <row r="8" spans="3:12">
      <c r="D8" s="5" t="s">
        <v>8</v>
      </c>
      <c r="K8" s="11" t="s">
        <v>17</v>
      </c>
    </row>
    <row r="9" spans="3:12">
      <c r="D9" s="5" t="s">
        <v>6</v>
      </c>
      <c r="E9" s="5">
        <v>5.6532499999999999</v>
      </c>
      <c r="K9" s="11" t="s">
        <v>2</v>
      </c>
    </row>
    <row r="10" spans="3:12">
      <c r="D10" s="5" t="s">
        <v>9</v>
      </c>
      <c r="E10" s="5">
        <v>5.4511700000000003</v>
      </c>
    </row>
    <row r="11" spans="3:12">
      <c r="D11" s="5" t="s">
        <v>10</v>
      </c>
      <c r="E11" s="5">
        <v>6.0583</v>
      </c>
    </row>
    <row r="12" spans="3:12">
      <c r="D12" s="5" t="s">
        <v>11</v>
      </c>
      <c r="E12" s="5">
        <v>5.8687500000000004</v>
      </c>
    </row>
    <row r="13" spans="3:12">
      <c r="D13" s="5" t="s">
        <v>2</v>
      </c>
      <c r="E13" s="5">
        <f>$E$9*F2*F3+$E$10*F2*(1-F3)+$E$11*(1-F2)*F3+$E$12*(1-F2)*(1-F3)</f>
        <v>5.7565377500000006</v>
      </c>
      <c r="H13" s="5">
        <f>$E$9*I2*I3+$E$10*I2*(1-I3)+$E$11*(1-I2)*I3+$E$12*(1-I2)*(1-I3)</f>
        <v>5.6532499999999999</v>
      </c>
      <c r="K13" s="5">
        <f>$E$9*L2*L3+$E$10*L2*(1-L3)+$E$11*(1-L2)*L3+$E$12*(1-L2)*(1-L3)</f>
        <v>5.5946467999999996</v>
      </c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O8"/>
  <sheetViews>
    <sheetView tabSelected="1" topLeftCell="C1" workbookViewId="0">
      <selection activeCell="O5" sqref="O5"/>
    </sheetView>
  </sheetViews>
  <sheetFormatPr baseColWidth="10" defaultRowHeight="20"/>
  <cols>
    <col min="1" max="3" width="10.7109375" style="5"/>
    <col min="4" max="4" width="14" style="5" bestFit="1" customWidth="1"/>
    <col min="5" max="5" width="22" style="5" bestFit="1" customWidth="1"/>
    <col min="6" max="6" width="10.7109375" style="5"/>
    <col min="7" max="7" width="14" style="5" bestFit="1" customWidth="1"/>
    <col min="8" max="16384" width="10.7109375" style="5"/>
  </cols>
  <sheetData>
    <row r="1" spans="3:15" ht="21" thickBot="1">
      <c r="G1" s="4" t="s">
        <v>20</v>
      </c>
      <c r="I1" s="5" t="s">
        <v>6</v>
      </c>
      <c r="K1" s="5" t="s">
        <v>23</v>
      </c>
      <c r="M1" s="5" t="s">
        <v>25</v>
      </c>
      <c r="O1" s="5" t="s">
        <v>65</v>
      </c>
    </row>
    <row r="2" spans="3:15">
      <c r="C2" s="39" t="s">
        <v>19</v>
      </c>
      <c r="D2" s="4" t="s">
        <v>20</v>
      </c>
      <c r="E2" s="1" t="s">
        <v>21</v>
      </c>
      <c r="F2" s="5" t="s">
        <v>0</v>
      </c>
      <c r="G2" s="5">
        <v>0.745</v>
      </c>
      <c r="I2" s="5">
        <v>1</v>
      </c>
      <c r="K2" s="5">
        <v>0.55000000000000004</v>
      </c>
      <c r="M2" s="5">
        <f>1-0.485</f>
        <v>0.51500000000000001</v>
      </c>
      <c r="O2" s="5">
        <v>0.255</v>
      </c>
    </row>
    <row r="3" spans="3:15">
      <c r="C3" s="37"/>
      <c r="D3" s="5" t="s">
        <v>23</v>
      </c>
      <c r="E3" s="2" t="s">
        <v>24</v>
      </c>
      <c r="F3" s="5" t="s">
        <v>19</v>
      </c>
      <c r="G3" s="5">
        <f>0.324+0.7*G2+0.4*G2*G2</f>
        <v>1.06751</v>
      </c>
      <c r="H3" s="5" t="s">
        <v>22</v>
      </c>
      <c r="I3" s="5">
        <f>0.324+0.7*I2+0.4*I2*I2</f>
        <v>1.4239999999999999</v>
      </c>
      <c r="K3" s="5">
        <f>1.42+1.087*K2+0.438*K2*K2</f>
        <v>2.1503450000000002</v>
      </c>
      <c r="M3" s="5">
        <f>1.351+0.643*M2+0.786*M2*M2</f>
        <v>1.89061185</v>
      </c>
      <c r="O3" s="5">
        <f>2.75-1.502*O2+0.176*O2*O2</f>
        <v>2.3784343999999997</v>
      </c>
    </row>
    <row r="4" spans="3:15">
      <c r="C4" s="37"/>
      <c r="D4" s="5" t="s">
        <v>25</v>
      </c>
      <c r="E4" s="2" t="s">
        <v>26</v>
      </c>
      <c r="G4" s="5">
        <f>1240/G3</f>
        <v>1161.5816245281076</v>
      </c>
      <c r="H4" s="11"/>
      <c r="I4" s="5">
        <f>1240/I3</f>
        <v>870.78651685393265</v>
      </c>
      <c r="K4" s="5">
        <f>1240/K3</f>
        <v>576.65165357186868</v>
      </c>
      <c r="M4" s="5">
        <f>1240/M3</f>
        <v>655.8723304310189</v>
      </c>
      <c r="O4" s="5">
        <f>1240/O3</f>
        <v>521.35135616941977</v>
      </c>
    </row>
    <row r="5" spans="3:15" ht="21" thickBot="1">
      <c r="C5" s="38"/>
      <c r="D5" s="6" t="s">
        <v>65</v>
      </c>
      <c r="E5" s="3" t="s">
        <v>66</v>
      </c>
      <c r="H5" s="12"/>
      <c r="K5" s="12"/>
    </row>
    <row r="6" spans="3:15">
      <c r="E6" s="9"/>
    </row>
    <row r="7" spans="3:15">
      <c r="K7" s="11">
        <v>2.1503450000000002</v>
      </c>
    </row>
    <row r="8" spans="3:15">
      <c r="K8" s="11"/>
    </row>
  </sheetData>
  <mergeCells count="1">
    <mergeCell ref="C2:C5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T61"/>
  <sheetViews>
    <sheetView topLeftCell="H1" zoomScale="90" zoomScaleNormal="90" workbookViewId="0">
      <selection activeCell="N12" sqref="N12"/>
    </sheetView>
  </sheetViews>
  <sheetFormatPr baseColWidth="10" defaultRowHeight="16"/>
  <cols>
    <col min="1" max="1" width="10.7109375" style="14"/>
    <col min="2" max="2" width="14" style="14" bestFit="1" customWidth="1"/>
    <col min="3" max="3" width="12.85546875" style="14" bestFit="1" customWidth="1"/>
    <col min="4" max="7" width="10.7109375" style="14"/>
    <col min="8" max="8" width="17.140625" style="14" bestFit="1" customWidth="1"/>
    <col min="9" max="12" width="10.7109375" style="14"/>
    <col min="13" max="13" width="9.28515625" style="14" bestFit="1" customWidth="1"/>
    <col min="14" max="14" width="12.7109375" style="14" bestFit="1" customWidth="1"/>
    <col min="15" max="16384" width="10.7109375" style="14"/>
  </cols>
  <sheetData>
    <row r="1" spans="2:20">
      <c r="B1" s="27"/>
      <c r="C1" s="27"/>
      <c r="D1" s="27" t="s">
        <v>29</v>
      </c>
      <c r="E1" s="27" t="s">
        <v>30</v>
      </c>
      <c r="F1" s="27" t="s">
        <v>31</v>
      </c>
    </row>
    <row r="2" spans="2:20">
      <c r="B2" s="27" t="s">
        <v>23</v>
      </c>
      <c r="C2" s="27" t="s">
        <v>28</v>
      </c>
      <c r="D2" s="27">
        <v>3.65</v>
      </c>
      <c r="E2" s="27">
        <v>0.871</v>
      </c>
      <c r="F2" s="27">
        <v>0.17899999999999999</v>
      </c>
    </row>
    <row r="3" spans="2:20">
      <c r="B3" s="27"/>
      <c r="C3" s="27" t="s">
        <v>33</v>
      </c>
      <c r="D3" s="27">
        <v>36.1</v>
      </c>
      <c r="E3" s="27">
        <f>-2.45</f>
        <v>-2.4500000000000002</v>
      </c>
      <c r="F3" s="27"/>
    </row>
    <row r="4" spans="2:20">
      <c r="B4" s="27"/>
      <c r="C4" s="27"/>
      <c r="D4" s="27"/>
      <c r="E4" s="27"/>
      <c r="F4" s="27"/>
    </row>
    <row r="5" spans="2:20">
      <c r="B5" s="27" t="s">
        <v>25</v>
      </c>
      <c r="C5" s="27" t="s">
        <v>28</v>
      </c>
      <c r="D5" s="27">
        <v>3.391</v>
      </c>
      <c r="E5" s="27">
        <v>0.52400000000000002</v>
      </c>
      <c r="F5" s="27">
        <v>0.59499999999999997</v>
      </c>
    </row>
    <row r="6" spans="2:20">
      <c r="B6" s="27"/>
      <c r="C6" s="27" t="s">
        <v>33</v>
      </c>
      <c r="D6" s="27">
        <v>28.91</v>
      </c>
      <c r="E6" s="27">
        <v>7.54</v>
      </c>
      <c r="F6" s="27"/>
    </row>
    <row r="7" spans="2:20">
      <c r="B7" s="27" t="s">
        <v>62</v>
      </c>
      <c r="C7" s="27" t="s">
        <v>28</v>
      </c>
      <c r="D7" s="27">
        <v>3.391</v>
      </c>
      <c r="E7" s="27">
        <v>0.52400000000000002</v>
      </c>
      <c r="F7" s="27">
        <v>0.59499999999999997</v>
      </c>
    </row>
    <row r="8" spans="2:20">
      <c r="B8" s="27"/>
      <c r="C8" s="27" t="s">
        <v>33</v>
      </c>
      <c r="D8" s="27">
        <v>28.91</v>
      </c>
      <c r="E8" s="27">
        <v>7.54</v>
      </c>
      <c r="F8" s="27"/>
    </row>
    <row r="10" spans="2:20" ht="17" thickBot="1"/>
    <row r="11" spans="2:20" ht="17" thickBot="1">
      <c r="B11" s="16" t="s">
        <v>34</v>
      </c>
      <c r="C11" s="17">
        <f>C16/C13</f>
        <v>1.2037300724108257</v>
      </c>
      <c r="D11" s="18" t="s">
        <v>22</v>
      </c>
      <c r="J11" s="28" t="s">
        <v>6</v>
      </c>
      <c r="M11" s="14" t="s">
        <v>47</v>
      </c>
      <c r="P11" s="14" t="s">
        <v>60</v>
      </c>
      <c r="S11" s="14" t="s">
        <v>62</v>
      </c>
    </row>
    <row r="12" spans="2:20">
      <c r="B12" s="19" t="s">
        <v>35</v>
      </c>
      <c r="C12" s="20">
        <f>6.62607004E-34</f>
        <v>6.6260700399999999E-34</v>
      </c>
      <c r="D12" s="21" t="s">
        <v>36</v>
      </c>
      <c r="J12" s="29" t="s">
        <v>0</v>
      </c>
      <c r="K12" s="30">
        <v>0</v>
      </c>
      <c r="M12" s="14" t="s">
        <v>0</v>
      </c>
      <c r="N12" s="14">
        <v>0.55000000000000004</v>
      </c>
      <c r="P12" s="14" t="s">
        <v>0</v>
      </c>
      <c r="Q12" s="14">
        <f>1-0.485</f>
        <v>0.51500000000000001</v>
      </c>
      <c r="S12" s="14" t="s">
        <v>0</v>
      </c>
      <c r="T12" s="14">
        <f>1-0.255</f>
        <v>0.745</v>
      </c>
    </row>
    <row r="13" spans="2:20">
      <c r="B13" s="19" t="s">
        <v>37</v>
      </c>
      <c r="C13" s="22">
        <v>1.0300000000000001E-6</v>
      </c>
      <c r="D13" s="21" t="s">
        <v>42</v>
      </c>
      <c r="I13" s="31"/>
      <c r="J13" s="27" t="s">
        <v>28</v>
      </c>
      <c r="K13" s="32">
        <f>$D$2+$E$2*K12+$F$2*K12*K12</f>
        <v>3.65</v>
      </c>
      <c r="M13" s="14" t="s">
        <v>28</v>
      </c>
      <c r="N13" s="14">
        <f>$D$2+$E$2*N12+$F$2*N12*N12</f>
        <v>4.1831975000000003</v>
      </c>
      <c r="P13" s="14" t="s">
        <v>28</v>
      </c>
      <c r="Q13" s="14">
        <f>D5+E5*Q12+F5*Q12*Q12</f>
        <v>3.8186688750000002</v>
      </c>
      <c r="S13" s="14" t="s">
        <v>28</v>
      </c>
      <c r="T13" s="14">
        <f>D7+E7*T12+F7*T12*T12</f>
        <v>4.1116198749999997</v>
      </c>
    </row>
    <row r="14" spans="2:20">
      <c r="B14" s="19" t="s">
        <v>38</v>
      </c>
      <c r="C14" s="23">
        <v>299792458</v>
      </c>
      <c r="D14" s="21" t="s">
        <v>39</v>
      </c>
      <c r="I14" s="31"/>
      <c r="J14" s="27" t="s">
        <v>33</v>
      </c>
      <c r="K14" s="32">
        <f>$D$3+$E$3*K12</f>
        <v>36.1</v>
      </c>
      <c r="M14" s="14" t="s">
        <v>33</v>
      </c>
      <c r="N14" s="14">
        <f>$D$3+$E$3*N12</f>
        <v>34.752499999999998</v>
      </c>
      <c r="P14" s="14" t="s">
        <v>33</v>
      </c>
      <c r="Q14" s="14">
        <f>D6+E6*Q12</f>
        <v>32.793100000000003</v>
      </c>
      <c r="S14" s="14" t="s">
        <v>33</v>
      </c>
      <c r="T14" s="14">
        <f>D8+E8*T12</f>
        <v>34.527299999999997</v>
      </c>
    </row>
    <row r="15" spans="2:20">
      <c r="B15" s="19" t="s">
        <v>40</v>
      </c>
      <c r="C15" s="23">
        <f>C14/C13</f>
        <v>291060638834951.44</v>
      </c>
      <c r="D15" s="21" t="s">
        <v>45</v>
      </c>
      <c r="I15" s="31"/>
      <c r="J15" s="27" t="s">
        <v>19</v>
      </c>
      <c r="K15" s="32">
        <v>1.4239999999999999</v>
      </c>
      <c r="M15" s="14" t="s">
        <v>19</v>
      </c>
      <c r="N15" s="14">
        <v>2.15</v>
      </c>
      <c r="P15" s="14" t="s">
        <v>19</v>
      </c>
      <c r="Q15" s="14">
        <v>1.89061185</v>
      </c>
      <c r="S15" s="14" t="s">
        <v>19</v>
      </c>
      <c r="T15" s="14">
        <v>1.06751</v>
      </c>
    </row>
    <row r="16" spans="2:20">
      <c r="B16" s="19" t="s">
        <v>43</v>
      </c>
      <c r="C16" s="22">
        <f>C12*C14/C17</f>
        <v>1.2398419745831506E-6</v>
      </c>
      <c r="D16" s="21" t="s">
        <v>13</v>
      </c>
      <c r="I16" s="31"/>
      <c r="J16" s="27" t="s">
        <v>51</v>
      </c>
      <c r="K16" s="32">
        <f>PI()*$K14/(2*$K13^3*($K13^2-$K15^2))</f>
        <v>0.10324591147962126</v>
      </c>
      <c r="M16" s="14" t="s">
        <v>51</v>
      </c>
      <c r="N16" s="32">
        <f>PI()*N14/(2*N13^3*(N13^2-N15^2))</f>
        <v>5.7913288003838569E-2</v>
      </c>
      <c r="P16" s="14" t="s">
        <v>51</v>
      </c>
      <c r="Q16" s="32">
        <f>PI()*Q14/(2*Q13^3*(Q13^2-Q15^2))</f>
        <v>8.4035942225448204E-2</v>
      </c>
      <c r="S16" s="14" t="s">
        <v>51</v>
      </c>
      <c r="T16" s="32">
        <f>PI()*T14/(2*T13^3*(T13^2-T15^2))</f>
        <v>4.9491030807251223E-2</v>
      </c>
    </row>
    <row r="17" spans="2:20" ht="17" thickBot="1">
      <c r="B17" s="24" t="s">
        <v>41</v>
      </c>
      <c r="C17" s="25">
        <v>1.6021766200000001E-19</v>
      </c>
      <c r="D17" s="26" t="s">
        <v>44</v>
      </c>
      <c r="I17" s="31"/>
      <c r="J17" s="27" t="s">
        <v>53</v>
      </c>
      <c r="K17" s="33">
        <f>$K14/$K13+$K14/$K13^3*$C$11^2+$K16/PI()*$C$11^4*LN((2*$K13^2-$K15^2-$C$11^2)/($K15^2-$C$11^2))</f>
        <v>11.220674486869809</v>
      </c>
      <c r="M17" s="14" t="s">
        <v>53</v>
      </c>
      <c r="N17" s="33">
        <f>$N$14/$N$13+$N$14/$N$13^3*$C$11^2+$N$16/PI()*$C$11^4*LN((2*$N$13^2-$N$15^2-$C$11^2)/($N$15^2-$C$11^2))</f>
        <v>9.0810612295503947</v>
      </c>
      <c r="P17" s="14" t="s">
        <v>53</v>
      </c>
      <c r="S17" s="14" t="s">
        <v>53</v>
      </c>
    </row>
    <row r="18" spans="2:20" ht="17" thickBot="1">
      <c r="I18" s="34"/>
      <c r="J18" s="35" t="s">
        <v>49</v>
      </c>
      <c r="K18" s="36">
        <f>SQRT(K17+1)</f>
        <v>3.495808130728832</v>
      </c>
      <c r="M18" s="14" t="s">
        <v>49</v>
      </c>
      <c r="N18" s="36">
        <f>SQRT(N17+1)</f>
        <v>3.1750686968238018</v>
      </c>
      <c r="P18" s="14" t="s">
        <v>49</v>
      </c>
      <c r="S18" s="14" t="s">
        <v>49</v>
      </c>
    </row>
    <row r="20" spans="2:20" ht="20">
      <c r="H20" t="s">
        <v>37</v>
      </c>
      <c r="I20" t="s">
        <v>56</v>
      </c>
      <c r="J20" t="s">
        <v>58</v>
      </c>
      <c r="K20" t="s">
        <v>49</v>
      </c>
      <c r="M20" s="14" t="s">
        <v>59</v>
      </c>
      <c r="N20" s="14" t="s">
        <v>49</v>
      </c>
    </row>
    <row r="21" spans="2:20" ht="20">
      <c r="H21">
        <v>800</v>
      </c>
      <c r="I21" s="13">
        <f t="shared" ref="I21:I61" si="0">$C$16/H21*10^9</f>
        <v>1.5498024682289382</v>
      </c>
      <c r="J21" s="15" t="e">
        <f t="shared" ref="J21:J61" si="1">$K$14/$K$13+$K$14/$K$13^3*I21^2+$K$16/PI()*I21^4*LN((2*$K$13^2-$K$15^2-I21^2)/($K$15^2-I21^2))</f>
        <v>#NUM!</v>
      </c>
      <c r="K21" t="e">
        <f>SQRT(J21+1)</f>
        <v>#NUM!</v>
      </c>
      <c r="M21" s="33">
        <f>N$14/N$13+N$14/N$13^3*$I21^2+N$16/PI()*$I21^4*LN((2*N$13^2-N$15^2-$I21^2)/(N$15^2-$I21^2))</f>
        <v>9.717360074132241</v>
      </c>
      <c r="N21" s="15">
        <f>SQRT(M21+1)</f>
        <v>3.2737379360804435</v>
      </c>
      <c r="P21" s="33">
        <f>Q$14/Q$13+Q$14/Q$13^3*$I21^2+Q$16/PI()*$I21^4*LN((2*Q$13^2-Q$15^2-$I21^2)/(Q$15^2-$I21^2))</f>
        <v>10.462624805344729</v>
      </c>
      <c r="Q21" s="14">
        <f>SQRT(P21+1)</f>
        <v>3.3856498350161273</v>
      </c>
      <c r="S21" s="33" t="e">
        <f>T$14/T$13+T$14/T$13^3*$I21^2+T$16/PI()*$I21^4*LN((2*T$13^2-T$15^2-$I21^2)/(T$15^2-$I21^2))</f>
        <v>#NUM!</v>
      </c>
      <c r="T21" s="14" t="e">
        <f>SQRT(S21+1)</f>
        <v>#NUM!</v>
      </c>
    </row>
    <row r="22" spans="2:20" ht="20">
      <c r="H22">
        <v>810</v>
      </c>
      <c r="I22" s="13">
        <f t="shared" si="0"/>
        <v>1.5306691044236427</v>
      </c>
      <c r="J22" s="15" t="e">
        <f t="shared" si="1"/>
        <v>#NUM!</v>
      </c>
      <c r="K22" t="e">
        <f t="shared" ref="K22:K61" si="2">SQRT(J22+1)</f>
        <v>#NUM!</v>
      </c>
      <c r="M22" s="33">
        <f t="shared" ref="M22:M61" si="3">N$14/N$13+N$14/N$13^3*$I22^2+N$16/PI()*$I22^4*LN((2*N$13^2-N$15^2-$I22^2)/(N$15^2-$I22^2))</f>
        <v>9.6738797687547837</v>
      </c>
      <c r="N22" s="15">
        <f t="shared" ref="N22:N61" si="4">SQRT(M22+1)</f>
        <v>3.2670904133119403</v>
      </c>
      <c r="P22" s="33">
        <f t="shared" ref="P22:P61" si="5">Q$14/Q$13+Q$14/Q$13^3*$I22^2+Q$16/PI()*$I22^4*LN((2*Q$13^2-Q$15^2-$I22^2)/(Q$15^2-$I22^2))</f>
        <v>10.398759713849758</v>
      </c>
      <c r="Q22" s="14">
        <f t="shared" ref="Q22:Q61" si="6">SQRT(P22+1)</f>
        <v>3.3762049277035535</v>
      </c>
      <c r="S22" s="33" t="e">
        <f t="shared" ref="S22:S61" si="7">T$14/T$13+T$14/T$13^3*$I22^2+T$16/PI()*$I22^4*LN((2*T$13^2-T$15^2-$I22^2)/(T$15^2-$I22^2))</f>
        <v>#NUM!</v>
      </c>
      <c r="T22" s="14" t="e">
        <f t="shared" ref="T22:T61" si="8">SQRT(S22+1)</f>
        <v>#NUM!</v>
      </c>
    </row>
    <row r="23" spans="2:20" ht="20">
      <c r="H23">
        <v>820</v>
      </c>
      <c r="I23" s="13">
        <f t="shared" si="0"/>
        <v>1.5120024080282326</v>
      </c>
      <c r="J23" s="15" t="e">
        <f t="shared" si="1"/>
        <v>#NUM!</v>
      </c>
      <c r="K23" t="e">
        <f t="shared" si="2"/>
        <v>#NUM!</v>
      </c>
      <c r="M23" s="33">
        <f t="shared" si="3"/>
        <v>9.6325773635392604</v>
      </c>
      <c r="N23" s="15">
        <f t="shared" si="4"/>
        <v>3.2607633099535547</v>
      </c>
      <c r="P23" s="33">
        <f t="shared" si="5"/>
        <v>10.338686744405525</v>
      </c>
      <c r="Q23" s="14">
        <f t="shared" si="6"/>
        <v>3.3672966522724908</v>
      </c>
      <c r="S23" s="33" t="e">
        <f t="shared" si="7"/>
        <v>#NUM!</v>
      </c>
      <c r="T23" s="14" t="e">
        <f t="shared" si="8"/>
        <v>#NUM!</v>
      </c>
    </row>
    <row r="24" spans="2:20" ht="20">
      <c r="H24">
        <v>830</v>
      </c>
      <c r="I24" s="13">
        <f t="shared" si="0"/>
        <v>1.4937855115459644</v>
      </c>
      <c r="J24" s="15" t="e">
        <f t="shared" si="1"/>
        <v>#NUM!</v>
      </c>
      <c r="K24" t="e">
        <f t="shared" si="2"/>
        <v>#NUM!</v>
      </c>
      <c r="M24" s="33">
        <f t="shared" si="3"/>
        <v>9.5932946966048505</v>
      </c>
      <c r="N24" s="15">
        <f t="shared" si="4"/>
        <v>3.2547341975351611</v>
      </c>
      <c r="P24" s="33">
        <f t="shared" si="5"/>
        <v>10.282051124215755</v>
      </c>
      <c r="Q24" s="14">
        <f t="shared" si="6"/>
        <v>3.3588764675432401</v>
      </c>
      <c r="S24" s="33" t="e">
        <f t="shared" si="7"/>
        <v>#NUM!</v>
      </c>
      <c r="T24" s="14" t="e">
        <f t="shared" si="8"/>
        <v>#NUM!</v>
      </c>
    </row>
    <row r="25" spans="2:20" ht="20">
      <c r="H25">
        <v>840</v>
      </c>
      <c r="I25" s="13">
        <f t="shared" si="0"/>
        <v>1.4760023506942268</v>
      </c>
      <c r="J25" s="15" t="e">
        <f t="shared" si="1"/>
        <v>#NUM!</v>
      </c>
      <c r="K25" t="e">
        <f t="shared" si="2"/>
        <v>#NUM!</v>
      </c>
      <c r="M25" s="33">
        <f t="shared" si="3"/>
        <v>9.5558891985677654</v>
      </c>
      <c r="N25" s="15">
        <f t="shared" si="4"/>
        <v>3.2489827944400944</v>
      </c>
      <c r="P25" s="33">
        <f t="shared" si="5"/>
        <v>10.228546467592144</v>
      </c>
      <c r="Q25" s="14">
        <f t="shared" si="6"/>
        <v>3.350902336325567</v>
      </c>
      <c r="S25" s="33" t="e">
        <f t="shared" si="7"/>
        <v>#NUM!</v>
      </c>
      <c r="T25" s="14" t="e">
        <f t="shared" si="8"/>
        <v>#NUM!</v>
      </c>
    </row>
    <row r="26" spans="2:20" ht="20">
      <c r="H26">
        <v>850</v>
      </c>
      <c r="I26" s="13">
        <f t="shared" si="0"/>
        <v>1.4586376171566477</v>
      </c>
      <c r="J26" s="15" t="e">
        <f t="shared" si="1"/>
        <v>#NUM!</v>
      </c>
      <c r="K26" t="e">
        <f t="shared" si="2"/>
        <v>#NUM!</v>
      </c>
      <c r="M26" s="33">
        <f t="shared" si="3"/>
        <v>9.5202319057868561</v>
      </c>
      <c r="N26" s="15">
        <f t="shared" si="4"/>
        <v>3.243490697656902</v>
      </c>
      <c r="P26" s="33">
        <f t="shared" si="5"/>
        <v>10.177905898900903</v>
      </c>
      <c r="Q26" s="14">
        <f t="shared" si="6"/>
        <v>3.3433375388825017</v>
      </c>
      <c r="S26" s="33" t="e">
        <f t="shared" si="7"/>
        <v>#NUM!</v>
      </c>
      <c r="T26" s="14" t="e">
        <f t="shared" si="8"/>
        <v>#NUM!</v>
      </c>
    </row>
    <row r="27" spans="2:20" ht="20">
      <c r="H27">
        <v>860</v>
      </c>
      <c r="I27" s="13">
        <f t="shared" si="0"/>
        <v>1.4416767146315705</v>
      </c>
      <c r="J27" s="15" t="e">
        <f t="shared" si="1"/>
        <v>#NUM!</v>
      </c>
      <c r="K27" t="e">
        <f t="shared" si="2"/>
        <v>#NUM!</v>
      </c>
      <c r="M27" s="33">
        <f t="shared" si="3"/>
        <v>9.4862057872349475</v>
      </c>
      <c r="N27" s="15">
        <f t="shared" si="4"/>
        <v>3.2382411564358433</v>
      </c>
      <c r="P27" s="33">
        <f t="shared" si="5"/>
        <v>10.129895210961985</v>
      </c>
      <c r="Q27" s="14">
        <f t="shared" si="6"/>
        <v>3.336149758473379</v>
      </c>
      <c r="S27" s="33" t="e">
        <f t="shared" si="7"/>
        <v>#NUM!</v>
      </c>
      <c r="T27" s="14" t="e">
        <f t="shared" si="8"/>
        <v>#NUM!</v>
      </c>
    </row>
    <row r="28" spans="2:20" ht="20">
      <c r="H28">
        <v>870</v>
      </c>
      <c r="I28" s="13">
        <f t="shared" si="0"/>
        <v>1.4251057179116673</v>
      </c>
      <c r="J28" s="15" t="e">
        <f t="shared" si="1"/>
        <v>#NUM!</v>
      </c>
      <c r="K28" t="e">
        <f t="shared" si="2"/>
        <v>#NUM!</v>
      </c>
      <c r="M28" s="33">
        <f t="shared" si="3"/>
        <v>9.4537043259029172</v>
      </c>
      <c r="N28" s="15">
        <f t="shared" si="4"/>
        <v>3.2332188799867723</v>
      </c>
      <c r="P28" s="33">
        <f t="shared" si="5"/>
        <v>10.08430750751344</v>
      </c>
      <c r="Q28" s="14">
        <f t="shared" si="6"/>
        <v>3.3293103651527352</v>
      </c>
      <c r="S28" s="33" t="e">
        <f t="shared" si="7"/>
        <v>#NUM!</v>
      </c>
      <c r="T28" s="14" t="e">
        <f t="shared" si="8"/>
        <v>#NUM!</v>
      </c>
    </row>
    <row r="29" spans="2:20" ht="20">
      <c r="H29">
        <v>880</v>
      </c>
      <c r="I29" s="13">
        <f t="shared" si="0"/>
        <v>1.4089113347535802</v>
      </c>
      <c r="J29" s="15">
        <f t="shared" si="1"/>
        <v>12.176252109866908</v>
      </c>
      <c r="K29">
        <f t="shared" si="2"/>
        <v>3.6299107578378438</v>
      </c>
      <c r="M29" s="33">
        <f t="shared" si="3"/>
        <v>9.4226303085204979</v>
      </c>
      <c r="N29" s="15">
        <f t="shared" si="4"/>
        <v>3.2284098730676218</v>
      </c>
      <c r="P29" s="33">
        <f t="shared" si="5"/>
        <v>10.040958948044389</v>
      </c>
      <c r="Q29" s="14">
        <f t="shared" si="6"/>
        <v>3.3227938467567304</v>
      </c>
      <c r="S29" s="33" t="e">
        <f t="shared" si="7"/>
        <v>#NUM!</v>
      </c>
      <c r="T29" s="14" t="e">
        <f t="shared" si="8"/>
        <v>#NUM!</v>
      </c>
    </row>
    <row r="30" spans="2:20" ht="20">
      <c r="H30">
        <v>890</v>
      </c>
      <c r="I30" s="13">
        <f t="shared" si="0"/>
        <v>1.3930808703181468</v>
      </c>
      <c r="J30" s="15">
        <f t="shared" si="1"/>
        <v>12.01956702384007</v>
      </c>
      <c r="K30">
        <f t="shared" si="2"/>
        <v>3.6082637131784132</v>
      </c>
      <c r="M30" s="33">
        <f t="shared" si="3"/>
        <v>9.3928947870910626</v>
      </c>
      <c r="N30" s="15">
        <f t="shared" si="4"/>
        <v>3.2238012946040988</v>
      </c>
      <c r="P30" s="33">
        <f t="shared" si="5"/>
        <v>9.9996853252198825</v>
      </c>
      <c r="Q30" s="14">
        <f t="shared" si="6"/>
        <v>3.3165773510080965</v>
      </c>
      <c r="S30" s="33" t="e">
        <f t="shared" si="7"/>
        <v>#NUM!</v>
      </c>
      <c r="T30" s="14" t="e">
        <f t="shared" si="8"/>
        <v>#NUM!</v>
      </c>
    </row>
    <row r="31" spans="2:20" ht="20">
      <c r="H31">
        <v>900</v>
      </c>
      <c r="I31" s="13">
        <f t="shared" si="0"/>
        <v>1.3776021939812786</v>
      </c>
      <c r="J31" s="15">
        <f t="shared" si="1"/>
        <v>11.910472742535179</v>
      </c>
      <c r="K31">
        <f t="shared" si="2"/>
        <v>3.5931146297516281</v>
      </c>
      <c r="M31" s="33">
        <f t="shared" si="3"/>
        <v>9.3644161831466892</v>
      </c>
      <c r="N31" s="15">
        <f t="shared" si="4"/>
        <v>3.2193813354659757</v>
      </c>
      <c r="P31" s="33">
        <f t="shared" si="5"/>
        <v>9.9603392806288547</v>
      </c>
      <c r="Q31" s="14">
        <f t="shared" si="6"/>
        <v>3.3106403127837454</v>
      </c>
      <c r="S31" s="33" t="e">
        <f t="shared" si="7"/>
        <v>#NUM!</v>
      </c>
      <c r="T31" s="14" t="e">
        <f t="shared" si="8"/>
        <v>#NUM!</v>
      </c>
    </row>
    <row r="32" spans="2:20" ht="20">
      <c r="H32">
        <v>910</v>
      </c>
      <c r="I32" s="13">
        <f t="shared" si="0"/>
        <v>1.3624637083331326</v>
      </c>
      <c r="J32" s="15">
        <f t="shared" si="1"/>
        <v>11.822095434343087</v>
      </c>
      <c r="K32">
        <f t="shared" si="2"/>
        <v>3.5807953633715357</v>
      </c>
      <c r="M32" s="33">
        <f t="shared" si="3"/>
        <v>9.3371195113389902</v>
      </c>
      <c r="N32" s="15">
        <f t="shared" si="4"/>
        <v>3.2151391122841</v>
      </c>
      <c r="P32" s="33">
        <f t="shared" si="5"/>
        <v>9.9227880165795614</v>
      </c>
      <c r="Q32" s="14">
        <f t="shared" si="6"/>
        <v>3.3049641475482847</v>
      </c>
      <c r="S32" s="33" t="e">
        <f t="shared" si="7"/>
        <v>#NUM!</v>
      </c>
      <c r="T32" s="14" t="e">
        <f t="shared" si="8"/>
        <v>#NUM!</v>
      </c>
    </row>
    <row r="33" spans="8:20" ht="20">
      <c r="H33">
        <v>920</v>
      </c>
      <c r="I33" s="13">
        <f t="shared" si="0"/>
        <v>1.3476543201990767</v>
      </c>
      <c r="J33" s="15">
        <f t="shared" si="1"/>
        <v>11.746012493836545</v>
      </c>
      <c r="K33">
        <f t="shared" si="2"/>
        <v>3.5701558080616795</v>
      </c>
      <c r="M33" s="33">
        <f t="shared" si="3"/>
        <v>9.3109357034231213</v>
      </c>
      <c r="N33" s="15">
        <f t="shared" si="4"/>
        <v>3.2110645747825006</v>
      </c>
      <c r="P33" s="33">
        <f t="shared" si="5"/>
        <v>9.8869113981365047</v>
      </c>
      <c r="Q33" s="14">
        <f t="shared" si="6"/>
        <v>3.2995319968347792</v>
      </c>
      <c r="S33" s="33" t="e">
        <f t="shared" si="7"/>
        <v>#NUM!</v>
      </c>
      <c r="T33" s="14" t="e">
        <f t="shared" si="8"/>
        <v>#NUM!</v>
      </c>
    </row>
    <row r="34" spans="8:20" ht="20">
      <c r="H34">
        <v>930</v>
      </c>
      <c r="I34" s="13">
        <f t="shared" si="0"/>
        <v>1.3331634135302695</v>
      </c>
      <c r="J34" s="15">
        <f t="shared" si="1"/>
        <v>11.67838159749688</v>
      </c>
      <c r="K34">
        <f t="shared" si="2"/>
        <v>3.5606715093500103</v>
      </c>
      <c r="M34" s="33">
        <f t="shared" si="3"/>
        <v>9.2858010171789083</v>
      </c>
      <c r="N34" s="15">
        <f t="shared" si="4"/>
        <v>3.2071484245633082</v>
      </c>
      <c r="P34" s="33">
        <f t="shared" si="5"/>
        <v>9.8526003656081098</v>
      </c>
      <c r="Q34" s="14">
        <f t="shared" si="6"/>
        <v>3.2943285151314385</v>
      </c>
      <c r="S34" s="33" t="e">
        <f t="shared" si="7"/>
        <v>#NUM!</v>
      </c>
      <c r="T34" s="14" t="e">
        <f t="shared" si="8"/>
        <v>#NUM!</v>
      </c>
    </row>
    <row r="35" spans="8:20" ht="20">
      <c r="H35">
        <v>940</v>
      </c>
      <c r="I35" s="13">
        <f t="shared" si="0"/>
        <v>1.3189808240246284</v>
      </c>
      <c r="J35" s="15">
        <f t="shared" si="1"/>
        <v>11.617082475248834</v>
      </c>
      <c r="K35">
        <f t="shared" si="2"/>
        <v>3.552053275958686</v>
      </c>
      <c r="M35" s="33">
        <f t="shared" si="3"/>
        <v>9.2616565175723302</v>
      </c>
      <c r="N35" s="15">
        <f t="shared" si="4"/>
        <v>3.20338204364892</v>
      </c>
      <c r="P35" s="33">
        <f t="shared" si="5"/>
        <v>9.8197555965400678</v>
      </c>
      <c r="Q35" s="14">
        <f t="shared" si="6"/>
        <v>3.2893396900502792</v>
      </c>
      <c r="S35" s="33" t="e">
        <f t="shared" si="7"/>
        <v>#NUM!</v>
      </c>
      <c r="T35" s="14" t="e">
        <f t="shared" si="8"/>
        <v>#NUM!</v>
      </c>
    </row>
    <row r="36" spans="8:20" ht="20">
      <c r="H36">
        <v>950</v>
      </c>
      <c r="I36" s="13">
        <f t="shared" si="0"/>
        <v>1.3050968153506848</v>
      </c>
      <c r="J36" s="15">
        <f t="shared" si="1"/>
        <v>11.560798041593088</v>
      </c>
      <c r="K36">
        <f t="shared" si="2"/>
        <v>3.5441216177768347</v>
      </c>
      <c r="M36" s="33">
        <f t="shared" si="3"/>
        <v>9.2384476196616028</v>
      </c>
      <c r="N36" s="15">
        <f t="shared" si="4"/>
        <v>3.199757431378448</v>
      </c>
      <c r="P36" s="33">
        <f t="shared" si="5"/>
        <v>9.7882863701149745</v>
      </c>
      <c r="Q36" s="14">
        <f t="shared" si="6"/>
        <v>3.2845526895020232</v>
      </c>
      <c r="S36" s="33" t="e">
        <f t="shared" si="7"/>
        <v>#NUM!</v>
      </c>
      <c r="T36" s="14" t="e">
        <f t="shared" si="8"/>
        <v>#NUM!</v>
      </c>
    </row>
    <row r="37" spans="8:20" ht="20">
      <c r="H37">
        <v>960</v>
      </c>
      <c r="I37" s="13">
        <f t="shared" si="0"/>
        <v>1.2915020568574487</v>
      </c>
      <c r="J37" s="15">
        <f t="shared" si="1"/>
        <v>11.508640706743543</v>
      </c>
      <c r="K37">
        <f t="shared" si="2"/>
        <v>3.536755675296718</v>
      </c>
      <c r="M37" s="33">
        <f t="shared" si="3"/>
        <v>9.2161236845200332</v>
      </c>
      <c r="N37" s="15">
        <f t="shared" si="4"/>
        <v>3.1962671484905689</v>
      </c>
      <c r="P37" s="33">
        <f t="shared" si="5"/>
        <v>9.7581095971647276</v>
      </c>
      <c r="Q37" s="14">
        <f t="shared" si="6"/>
        <v>3.2799557309763689</v>
      </c>
      <c r="S37" s="33" t="e">
        <f t="shared" si="7"/>
        <v>#NUM!</v>
      </c>
      <c r="T37" s="14" t="e">
        <f t="shared" si="8"/>
        <v>#NUM!</v>
      </c>
    </row>
    <row r="38" spans="8:20" ht="20">
      <c r="H38">
        <v>970</v>
      </c>
      <c r="I38" s="13">
        <f t="shared" si="0"/>
        <v>1.2781876026630419</v>
      </c>
      <c r="J38" s="15">
        <f t="shared" si="1"/>
        <v>11.459975635106392</v>
      </c>
      <c r="K38">
        <f t="shared" si="2"/>
        <v>3.5298690677001594</v>
      </c>
      <c r="M38" s="33">
        <f t="shared" si="3"/>
        <v>9.1946376608781222</v>
      </c>
      <c r="N38" s="15">
        <f t="shared" si="4"/>
        <v>3.1929042674151886</v>
      </c>
      <c r="P38" s="33">
        <f t="shared" si="5"/>
        <v>9.7291489867653222</v>
      </c>
      <c r="Q38" s="14">
        <f t="shared" si="6"/>
        <v>3.2755379690617725</v>
      </c>
      <c r="S38" s="33" t="e">
        <f t="shared" si="7"/>
        <v>#NUM!</v>
      </c>
      <c r="T38" s="14" t="e">
        <f t="shared" si="8"/>
        <v>#NUM!</v>
      </c>
    </row>
    <row r="39" spans="8:20" ht="20">
      <c r="H39">
        <v>980</v>
      </c>
      <c r="I39" s="13">
        <f t="shared" si="0"/>
        <v>1.2651448720236231</v>
      </c>
      <c r="J39" s="15">
        <f t="shared" si="1"/>
        <v>11.414327734088708</v>
      </c>
      <c r="K39">
        <f t="shared" si="2"/>
        <v>3.5233971865358451</v>
      </c>
      <c r="M39" s="33">
        <f t="shared" si="3"/>
        <v>9.1739457663513377</v>
      </c>
      <c r="N39" s="15">
        <f t="shared" si="4"/>
        <v>3.1896623279512424</v>
      </c>
      <c r="P39" s="33">
        <f t="shared" si="5"/>
        <v>9.7013343262971112</v>
      </c>
      <c r="Q39" s="14">
        <f t="shared" si="6"/>
        <v>3.2712893981268474</v>
      </c>
      <c r="S39" s="33" t="e">
        <f t="shared" si="7"/>
        <v>#NUM!</v>
      </c>
      <c r="T39" s="14" t="e">
        <f t="shared" si="8"/>
        <v>#NUM!</v>
      </c>
    </row>
    <row r="40" spans="8:20" ht="20">
      <c r="H40">
        <v>990</v>
      </c>
      <c r="I40" s="13">
        <f t="shared" si="0"/>
        <v>1.2523656308920714</v>
      </c>
      <c r="J40" s="15">
        <f t="shared" si="1"/>
        <v>11.371328622737646</v>
      </c>
      <c r="K40">
        <f t="shared" si="2"/>
        <v>3.5172899543167673</v>
      </c>
      <c r="M40" s="33">
        <f t="shared" si="3"/>
        <v>9.1540072030734123</v>
      </c>
      <c r="N40" s="15">
        <f t="shared" si="4"/>
        <v>3.1865352976349426</v>
      </c>
      <c r="P40" s="33">
        <f t="shared" si="5"/>
        <v>9.6746008564046591</v>
      </c>
      <c r="Q40" s="14">
        <f t="shared" si="6"/>
        <v>3.2672007676916119</v>
      </c>
      <c r="S40" s="33" t="e">
        <f t="shared" si="7"/>
        <v>#NUM!</v>
      </c>
      <c r="T40" s="14" t="e">
        <f t="shared" si="8"/>
        <v>#NUM!</v>
      </c>
    </row>
    <row r="41" spans="8:20" ht="20">
      <c r="H41">
        <v>1000</v>
      </c>
      <c r="I41" s="13">
        <f t="shared" si="0"/>
        <v>1.2398419745831506</v>
      </c>
      <c r="J41" s="15">
        <f t="shared" si="1"/>
        <v>11.33068443982571</v>
      </c>
      <c r="K41">
        <f t="shared" si="2"/>
        <v>3.5115074312644863</v>
      </c>
      <c r="M41" s="33">
        <f t="shared" si="3"/>
        <v>9.1347839033400025</v>
      </c>
      <c r="N41" s="15">
        <f t="shared" si="4"/>
        <v>3.1835175362073951</v>
      </c>
      <c r="P41" s="33">
        <f t="shared" si="5"/>
        <v>9.6488887258266534</v>
      </c>
      <c r="Q41" s="14">
        <f t="shared" si="6"/>
        <v>3.2632635084875776</v>
      </c>
      <c r="S41" s="33" t="e">
        <f t="shared" si="7"/>
        <v>#NUM!</v>
      </c>
      <c r="T41" s="14" t="e">
        <f t="shared" si="8"/>
        <v>#NUM!</v>
      </c>
    </row>
    <row r="42" spans="8:20" ht="20">
      <c r="H42">
        <v>1010</v>
      </c>
      <c r="I42" s="13">
        <f t="shared" si="0"/>
        <v>1.2275663114684658</v>
      </c>
      <c r="J42" s="15">
        <f t="shared" si="1"/>
        <v>11.292155289603134</v>
      </c>
      <c r="K42">
        <f t="shared" si="2"/>
        <v>3.5060170121668168</v>
      </c>
      <c r="M42" s="33">
        <f t="shared" si="3"/>
        <v>9.1162403015174878</v>
      </c>
      <c r="N42" s="15">
        <f t="shared" si="4"/>
        <v>3.1806037636771869</v>
      </c>
      <c r="P42" s="33">
        <f t="shared" si="5"/>
        <v>9.6241425138388372</v>
      </c>
      <c r="Q42" s="14">
        <f t="shared" si="6"/>
        <v>3.2594696675745944</v>
      </c>
      <c r="S42" s="33" t="e">
        <f t="shared" si="7"/>
        <v>#NUM!</v>
      </c>
      <c r="T42" s="14" t="e">
        <f t="shared" si="8"/>
        <v>#NUM!</v>
      </c>
    </row>
    <row r="43" spans="8:20" ht="20">
      <c r="H43">
        <v>1020</v>
      </c>
      <c r="I43" s="13">
        <f t="shared" si="0"/>
        <v>1.2155313476305398</v>
      </c>
      <c r="J43" s="15">
        <f t="shared" si="1"/>
        <v>11.255541559412322</v>
      </c>
      <c r="K43">
        <f t="shared" si="2"/>
        <v>3.5007915618345975</v>
      </c>
      <c r="M43" s="33">
        <f t="shared" si="3"/>
        <v>9.0983431290125729</v>
      </c>
      <c r="N43" s="15">
        <f t="shared" si="4"/>
        <v>3.1777890315457653</v>
      </c>
      <c r="P43" s="33">
        <f t="shared" si="5"/>
        <v>9.6003108102449897</v>
      </c>
      <c r="Q43" s="14">
        <f t="shared" si="6"/>
        <v>3.2558118511739877</v>
      </c>
      <c r="S43" s="33" t="e">
        <f t="shared" si="7"/>
        <v>#NUM!</v>
      </c>
      <c r="T43" s="14" t="e">
        <f t="shared" si="8"/>
        <v>#NUM!</v>
      </c>
    </row>
    <row r="44" spans="8:20" ht="20">
      <c r="H44">
        <v>1030</v>
      </c>
      <c r="I44" s="13">
        <f t="shared" si="0"/>
        <v>1.2037300724108257</v>
      </c>
      <c r="J44" s="15">
        <f t="shared" si="1"/>
        <v>11.220674486869809</v>
      </c>
      <c r="K44">
        <f t="shared" si="2"/>
        <v>3.495808130728832</v>
      </c>
      <c r="M44" s="33">
        <f t="shared" si="3"/>
        <v>9.0810612295503947</v>
      </c>
      <c r="N44" s="15">
        <f t="shared" si="4"/>
        <v>3.1750686968238018</v>
      </c>
      <c r="P44" s="33">
        <f t="shared" si="5"/>
        <v>9.5773458445974562</v>
      </c>
      <c r="Q44" s="14">
        <f t="shared" si="6"/>
        <v>3.2522831741097602</v>
      </c>
      <c r="S44" s="33" t="e">
        <f t="shared" si="7"/>
        <v>#NUM!</v>
      </c>
      <c r="T44" s="14" t="e">
        <f t="shared" si="8"/>
        <v>#NUM!</v>
      </c>
    </row>
    <row r="45" spans="8:20" ht="20">
      <c r="H45">
        <v>1040</v>
      </c>
      <c r="I45" s="13">
        <f t="shared" si="0"/>
        <v>1.192155744791491</v>
      </c>
      <c r="J45" s="15">
        <f t="shared" si="1"/>
        <v>11.187409459368419</v>
      </c>
      <c r="K45">
        <f t="shared" si="2"/>
        <v>3.4910470434195555</v>
      </c>
      <c r="M45" s="33">
        <f t="shared" si="3"/>
        <v>9.0643653923886465</v>
      </c>
      <c r="N45" s="15">
        <f t="shared" si="4"/>
        <v>3.1724383985175577</v>
      </c>
      <c r="P45" s="33">
        <f t="shared" si="5"/>
        <v>9.5552031577307801</v>
      </c>
      <c r="Q45" s="14">
        <f t="shared" si="6"/>
        <v>3.2488772149360741</v>
      </c>
      <c r="S45" s="33" t="e">
        <f t="shared" si="7"/>
        <v>#NUM!</v>
      </c>
      <c r="T45" s="14" t="e">
        <f t="shared" si="8"/>
        <v>#NUM!</v>
      </c>
    </row>
    <row r="46" spans="8:20" ht="20">
      <c r="H46">
        <v>1050</v>
      </c>
      <c r="I46" s="13">
        <f t="shared" si="0"/>
        <v>1.1808018805553815</v>
      </c>
      <c r="J46" s="15">
        <f t="shared" si="1"/>
        <v>11.155621129919133</v>
      </c>
      <c r="K46">
        <f t="shared" si="2"/>
        <v>3.4864912347400407</v>
      </c>
      <c r="M46" s="33">
        <f t="shared" si="3"/>
        <v>9.0482282014153732</v>
      </c>
      <c r="N46" s="15">
        <f t="shared" si="4"/>
        <v>3.1698940363071086</v>
      </c>
      <c r="P46" s="33">
        <f t="shared" si="5"/>
        <v>9.5338413098249557</v>
      </c>
      <c r="Q46" s="14">
        <f t="shared" si="6"/>
        <v>3.2455879759798463</v>
      </c>
      <c r="S46" s="33" t="e">
        <f t="shared" si="7"/>
        <v>#NUM!</v>
      </c>
      <c r="T46" s="14" t="e">
        <f t="shared" si="8"/>
        <v>#NUM!</v>
      </c>
    </row>
    <row r="47" spans="8:20" ht="20">
      <c r="H47">
        <v>1060</v>
      </c>
      <c r="I47" s="13">
        <f t="shared" si="0"/>
        <v>1.1696622401727836</v>
      </c>
      <c r="J47" s="15">
        <f t="shared" si="1"/>
        <v>11.125199775816917</v>
      </c>
      <c r="K47">
        <f t="shared" si="2"/>
        <v>3.4821257553134002</v>
      </c>
      <c r="M47" s="33">
        <f t="shared" si="3"/>
        <v>9.032623898349323</v>
      </c>
      <c r="N47" s="15">
        <f t="shared" si="4"/>
        <v>3.1674317511746519</v>
      </c>
      <c r="P47" s="33">
        <f t="shared" si="5"/>
        <v>9.5132216201366315</v>
      </c>
      <c r="Q47" s="14">
        <f t="shared" si="6"/>
        <v>3.242409847649836</v>
      </c>
      <c r="S47" s="33" t="e">
        <f t="shared" si="7"/>
        <v>#NUM!</v>
      </c>
      <c r="T47" s="14" t="e">
        <f t="shared" si="8"/>
        <v>#NUM!</v>
      </c>
    </row>
    <row r="48" spans="8:20" ht="20">
      <c r="H48">
        <v>1070</v>
      </c>
      <c r="I48" s="13">
        <f t="shared" si="0"/>
        <v>1.1587308173674304</v>
      </c>
      <c r="J48" s="15">
        <f t="shared" si="1"/>
        <v>11.096048529494434</v>
      </c>
      <c r="K48">
        <f t="shared" si="2"/>
        <v>3.4779373958561179</v>
      </c>
      <c r="M48" s="33">
        <f t="shared" si="3"/>
        <v>9.0175282584922645</v>
      </c>
      <c r="N48" s="15">
        <f t="shared" si="4"/>
        <v>3.1650479077720552</v>
      </c>
      <c r="P48" s="33">
        <f t="shared" si="5"/>
        <v>9.4933079342909039</v>
      </c>
      <c r="Q48" s="14">
        <f t="shared" si="6"/>
        <v>3.2393375764638832</v>
      </c>
      <c r="S48" s="33" t="e">
        <f t="shared" si="7"/>
        <v>#NUM!</v>
      </c>
      <c r="T48" s="14" t="e">
        <f t="shared" si="8"/>
        <v>#NUM!</v>
      </c>
    </row>
    <row r="49" spans="8:20" ht="20">
      <c r="H49">
        <v>1080</v>
      </c>
      <c r="I49" s="13">
        <f t="shared" si="0"/>
        <v>1.148001828317732</v>
      </c>
      <c r="J49" s="15">
        <f t="shared" si="1"/>
        <v>11.068081235297031</v>
      </c>
      <c r="K49">
        <f t="shared" si="2"/>
        <v>3.4739143966564621</v>
      </c>
      <c r="M49" s="33">
        <f t="shared" si="3"/>
        <v>9.0029184776793176</v>
      </c>
      <c r="N49" s="15">
        <f t="shared" si="4"/>
        <v>3.1627390783432197</v>
      </c>
      <c r="P49" s="33">
        <f t="shared" si="5"/>
        <v>9.4740664156473553</v>
      </c>
      <c r="Q49" s="14">
        <f t="shared" si="6"/>
        <v>3.2363662363285393</v>
      </c>
      <c r="S49" s="33" t="e">
        <f t="shared" si="7"/>
        <v>#NUM!</v>
      </c>
      <c r="T49" s="14" t="e">
        <f t="shared" si="8"/>
        <v>#NUM!</v>
      </c>
    </row>
    <row r="50" spans="8:20" ht="20">
      <c r="H50">
        <v>1090</v>
      </c>
      <c r="I50" s="13">
        <f t="shared" si="0"/>
        <v>1.1374697014524318</v>
      </c>
      <c r="J50" s="15">
        <f t="shared" si="1"/>
        <v>11.041220764478872</v>
      </c>
      <c r="K50">
        <f t="shared" si="2"/>
        <v>3.4700462193577297</v>
      </c>
      <c r="M50" s="33">
        <f t="shared" si="3"/>
        <v>8.9887730692417218</v>
      </c>
      <c r="N50" s="15">
        <f t="shared" si="4"/>
        <v>3.1605020280394887</v>
      </c>
      <c r="P50" s="33">
        <f t="shared" si="5"/>
        <v>9.4554653577679009</v>
      </c>
      <c r="Q50" s="14">
        <f t="shared" si="6"/>
        <v>3.233491202673652</v>
      </c>
      <c r="S50" s="33" t="e">
        <f t="shared" si="7"/>
        <v>#NUM!</v>
      </c>
      <c r="T50" s="14" t="e">
        <f t="shared" si="8"/>
        <v>#NUM!</v>
      </c>
    </row>
    <row r="51" spans="8:20" ht="20">
      <c r="H51">
        <v>1100</v>
      </c>
      <c r="I51" s="13">
        <f t="shared" si="0"/>
        <v>1.1271290678028643</v>
      </c>
      <c r="J51" s="15">
        <f t="shared" si="1"/>
        <v>11.015397671691341</v>
      </c>
      <c r="K51">
        <f t="shared" si="2"/>
        <v>3.4663233651365162</v>
      </c>
      <c r="M51" s="33">
        <f t="shared" si="3"/>
        <v>8.9750717699411684</v>
      </c>
      <c r="N51" s="15">
        <f t="shared" si="4"/>
        <v>3.1583337014858275</v>
      </c>
      <c r="P51" s="33">
        <f t="shared" si="5"/>
        <v>9.4374750154416258</v>
      </c>
      <c r="Q51" s="14">
        <f t="shared" si="6"/>
        <v>3.2307081291013624</v>
      </c>
      <c r="S51" s="33" t="e">
        <f t="shared" si="7"/>
        <v>#NUM!</v>
      </c>
      <c r="T51" s="14" t="e">
        <f t="shared" si="8"/>
        <v>#NUM!</v>
      </c>
    </row>
    <row r="52" spans="8:20" ht="20">
      <c r="H52">
        <v>1110</v>
      </c>
      <c r="I52" s="13">
        <f t="shared" si="0"/>
        <v>1.1169747518767124</v>
      </c>
      <c r="J52" s="15">
        <f t="shared" si="1"/>
        <v>10.990549110099046</v>
      </c>
      <c r="K52">
        <f t="shared" si="2"/>
        <v>3.4627372279887259</v>
      </c>
      <c r="M52" s="33">
        <f t="shared" si="3"/>
        <v>8.9617954539593274</v>
      </c>
      <c r="N52" s="15">
        <f t="shared" si="4"/>
        <v>3.1562312104722823</v>
      </c>
      <c r="P52" s="33">
        <f t="shared" si="5"/>
        <v>9.420067452079131</v>
      </c>
      <c r="Q52" s="14">
        <f t="shared" si="6"/>
        <v>3.228012926256512</v>
      </c>
      <c r="S52" s="33" t="e">
        <f t="shared" si="7"/>
        <v>#NUM!</v>
      </c>
      <c r="T52" s="14" t="e">
        <f t="shared" si="8"/>
        <v>#NUM!</v>
      </c>
    </row>
    <row r="53" spans="8:20" ht="20">
      <c r="H53">
        <v>1120</v>
      </c>
      <c r="I53" s="13">
        <f t="shared" si="0"/>
        <v>1.1070017630206703</v>
      </c>
      <c r="J53" s="15">
        <f t="shared" si="1"/>
        <v>10.966617945243438</v>
      </c>
      <c r="K53">
        <f t="shared" si="2"/>
        <v>3.4592799749721674</v>
      </c>
      <c r="M53" s="33">
        <f t="shared" si="3"/>
        <v>8.9489260541341071</v>
      </c>
      <c r="N53" s="15">
        <f t="shared" si="4"/>
        <v>3.1541918226598247</v>
      </c>
      <c r="P53" s="33">
        <f t="shared" si="5"/>
        <v>9.4032164015891038</v>
      </c>
      <c r="Q53" s="14">
        <f t="shared" si="6"/>
        <v>3.225401742665416</v>
      </c>
      <c r="S53" s="33" t="e">
        <f t="shared" si="7"/>
        <v>#NUM!</v>
      </c>
      <c r="T53" s="14" t="e">
        <f t="shared" si="8"/>
        <v>#NUM!</v>
      </c>
    </row>
    <row r="54" spans="8:20" ht="20">
      <c r="H54">
        <v>1130</v>
      </c>
      <c r="I54" s="13">
        <f t="shared" si="0"/>
        <v>1.0972052872417262</v>
      </c>
      <c r="J54" s="15">
        <f t="shared" si="1"/>
        <v>10.943552023679022</v>
      </c>
      <c r="K54">
        <f t="shared" si="2"/>
        <v>3.4559444474237462</v>
      </c>
      <c r="M54" s="33">
        <f t="shared" si="3"/>
        <v>8.9364464897273361</v>
      </c>
      <c r="N54" s="15">
        <f t="shared" si="4"/>
        <v>3.1522129512022716</v>
      </c>
      <c r="P54" s="33">
        <f t="shared" si="5"/>
        <v>9.3868971431030523</v>
      </c>
      <c r="Q54" s="14">
        <f t="shared" si="6"/>
        <v>3.222870947323683</v>
      </c>
      <c r="S54" s="33" t="e">
        <f t="shared" si="7"/>
        <v>#NUM!</v>
      </c>
      <c r="T54" s="14" t="e">
        <f t="shared" si="8"/>
        <v>#NUM!</v>
      </c>
    </row>
    <row r="55" spans="8:20" ht="20">
      <c r="H55">
        <v>1140</v>
      </c>
      <c r="I55" s="13">
        <f t="shared" si="0"/>
        <v>1.087580679458904</v>
      </c>
      <c r="J55" s="15">
        <f t="shared" si="1"/>
        <v>10.921303563608099</v>
      </c>
      <c r="K55">
        <f t="shared" si="2"/>
        <v>3.4527240786961384</v>
      </c>
      <c r="M55" s="33">
        <f t="shared" si="3"/>
        <v>8.9243406000899448</v>
      </c>
      <c r="N55" s="15">
        <f t="shared" si="4"/>
        <v>3.1502921451970045</v>
      </c>
      <c r="P55" s="33">
        <f t="shared" si="5"/>
        <v>9.3710863871284804</v>
      </c>
      <c r="Q55" s="14">
        <f t="shared" si="6"/>
        <v>3.2204171138423172</v>
      </c>
      <c r="S55" s="33" t="e">
        <f t="shared" si="7"/>
        <v>#NUM!</v>
      </c>
      <c r="T55" s="14" t="e">
        <f t="shared" si="8"/>
        <v>#NUM!</v>
      </c>
    </row>
    <row r="56" spans="8:20" ht="20">
      <c r="H56">
        <v>1150</v>
      </c>
      <c r="I56" s="13">
        <f t="shared" si="0"/>
        <v>1.0781234561592614</v>
      </c>
      <c r="J56" s="15">
        <f t="shared" si="1"/>
        <v>10.899828642755951</v>
      </c>
      <c r="K56">
        <f t="shared" si="2"/>
        <v>3.4496128250509432</v>
      </c>
      <c r="M56" s="33">
        <f t="shared" si="3"/>
        <v>8.9125930836612905</v>
      </c>
      <c r="N56" s="15">
        <f t="shared" si="4"/>
        <v>3.1484270808867865</v>
      </c>
      <c r="P56" s="33">
        <f t="shared" si="5"/>
        <v>9.3557621718932324</v>
      </c>
      <c r="Q56" s="14">
        <f t="shared" si="6"/>
        <v>3.2180370059856727</v>
      </c>
      <c r="S56" s="33" t="e">
        <f t="shared" si="7"/>
        <v>#NUM!</v>
      </c>
      <c r="T56" s="14" t="e">
        <f t="shared" si="8"/>
        <v>#NUM!</v>
      </c>
    </row>
    <row r="57" spans="8:20" ht="20">
      <c r="H57">
        <v>1160</v>
      </c>
      <c r="I57" s="13">
        <f t="shared" si="0"/>
        <v>1.0688292884337505</v>
      </c>
      <c r="J57" s="15">
        <f t="shared" si="1"/>
        <v>10.879086764549953</v>
      </c>
      <c r="K57">
        <f t="shared" si="2"/>
        <v>3.4466051071380304</v>
      </c>
      <c r="M57" s="33">
        <f t="shared" si="3"/>
        <v>8.9011894418011615</v>
      </c>
      <c r="N57" s="15">
        <f t="shared" si="4"/>
        <v>3.1466155535433877</v>
      </c>
      <c r="P57" s="33">
        <f t="shared" si="5"/>
        <v>9.3409037687992882</v>
      </c>
      <c r="Q57" s="14">
        <f t="shared" si="6"/>
        <v>3.2157275644555599</v>
      </c>
      <c r="S57" s="33" t="e">
        <f t="shared" si="7"/>
        <v>#NUM!</v>
      </c>
      <c r="T57" s="14" t="e">
        <f t="shared" si="8"/>
        <v>#NUM!</v>
      </c>
    </row>
    <row r="58" spans="8:20" ht="20">
      <c r="H58">
        <v>1170</v>
      </c>
      <c r="I58" s="13">
        <f t="shared" si="0"/>
        <v>1.0596939953702142</v>
      </c>
      <c r="J58" s="15">
        <f t="shared" si="1"/>
        <v>10.859040487951846</v>
      </c>
      <c r="K58">
        <f t="shared" si="2"/>
        <v>3.4436957600740294</v>
      </c>
      <c r="M58" s="33">
        <f t="shared" si="3"/>
        <v>8.8901159270071304</v>
      </c>
      <c r="N58" s="15">
        <f t="shared" si="4"/>
        <v>3.1448554699710973</v>
      </c>
      <c r="P58" s="33">
        <f t="shared" si="5"/>
        <v>9.3264915960376769</v>
      </c>
      <c r="Q58" s="14">
        <f t="shared" si="6"/>
        <v>3.2134858947936396</v>
      </c>
      <c r="S58" s="33">
        <f t="shared" si="7"/>
        <v>9.1052514399026716</v>
      </c>
      <c r="T58" s="14">
        <f t="shared" si="8"/>
        <v>3.1788758138534874</v>
      </c>
    </row>
    <row r="59" spans="8:20" ht="20">
      <c r="H59">
        <v>1180</v>
      </c>
      <c r="I59" s="13">
        <f t="shared" si="0"/>
        <v>1.0507135377823311</v>
      </c>
      <c r="J59" s="15">
        <f t="shared" si="1"/>
        <v>10.839655109487248</v>
      </c>
      <c r="K59">
        <f t="shared" si="2"/>
        <v>3.4408799905674199</v>
      </c>
      <c r="M59" s="33">
        <f t="shared" si="3"/>
        <v>8.8793594951173667</v>
      </c>
      <c r="N59" s="15">
        <f t="shared" si="4"/>
        <v>3.1431448415746557</v>
      </c>
      <c r="P59" s="33">
        <f t="shared" si="5"/>
        <v>9.3125071395306804</v>
      </c>
      <c r="Q59" s="14">
        <f t="shared" si="6"/>
        <v>3.2113092562895091</v>
      </c>
      <c r="S59" s="33">
        <f t="shared" si="7"/>
        <v>9.07622275194643</v>
      </c>
      <c r="T59" s="14">
        <f t="shared" si="8"/>
        <v>3.174306656885316</v>
      </c>
    </row>
    <row r="60" spans="8:20" ht="20">
      <c r="H60">
        <v>1190</v>
      </c>
      <c r="I60" s="13">
        <f t="shared" si="0"/>
        <v>1.0418840122547484</v>
      </c>
      <c r="J60" s="15">
        <f t="shared" si="1"/>
        <v>10.820898388425876</v>
      </c>
      <c r="K60">
        <f t="shared" si="2"/>
        <v>3.4381533398651487</v>
      </c>
      <c r="M60" s="33">
        <f t="shared" si="3"/>
        <v>8.8689077611409779</v>
      </c>
      <c r="N60" s="15">
        <f t="shared" si="4"/>
        <v>3.1414817779418964</v>
      </c>
      <c r="P60" s="33">
        <f t="shared" si="5"/>
        <v>9.2989328804663725</v>
      </c>
      <c r="Q60" s="14">
        <f t="shared" si="6"/>
        <v>3.2091950517951338</v>
      </c>
      <c r="S60" s="33">
        <f t="shared" si="7"/>
        <v>9.0549652185301088</v>
      </c>
      <c r="T60" s="14">
        <f t="shared" si="8"/>
        <v>3.170956514764923</v>
      </c>
    </row>
    <row r="61" spans="8:20" ht="20">
      <c r="H61">
        <v>1200</v>
      </c>
      <c r="I61" s="13">
        <f t="shared" si="0"/>
        <v>1.0332016454859587</v>
      </c>
      <c r="J61" s="15">
        <f t="shared" si="1"/>
        <v>10.802740307902905</v>
      </c>
      <c r="K61">
        <f t="shared" si="2"/>
        <v>3.4355116515452111</v>
      </c>
      <c r="M61" s="33">
        <f t="shared" si="3"/>
        <v>8.8587489583946812</v>
      </c>
      <c r="N61" s="15">
        <f t="shared" si="4"/>
        <v>3.139864480896378</v>
      </c>
      <c r="P61" s="33">
        <f t="shared" si="5"/>
        <v>9.2857522287759799</v>
      </c>
      <c r="Q61" s="14">
        <f t="shared" si="6"/>
        <v>3.2071408183576815</v>
      </c>
      <c r="S61" s="33">
        <f t="shared" si="7"/>
        <v>9.0369690212246869</v>
      </c>
      <c r="T61" s="14">
        <f t="shared" si="8"/>
        <v>3.168117583238458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baseColWidth="10" defaultRowHeight="20"/>
  <sheetData>
    <row r="2" spans="1:11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>
      <c r="A4" s="40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>
      <c r="A5" s="40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格子定数</vt:lpstr>
      <vt:lpstr>Eg</vt:lpstr>
      <vt:lpstr>屈折率</vt:lpstr>
      <vt:lpstr>SEO法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小松原望</cp:lastModifiedBy>
  <dcterms:created xsi:type="dcterms:W3CDTF">2018-12-23T09:18:54Z</dcterms:created>
  <dcterms:modified xsi:type="dcterms:W3CDTF">2019-01-02T12:20:12Z</dcterms:modified>
</cp:coreProperties>
</file>