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yakisaba\修論\本文0117\figure\"/>
    </mc:Choice>
  </mc:AlternateContent>
  <xr:revisionPtr revIDLastSave="0" documentId="13_ncr:1_{FEDC31C9-FA08-4795-9224-138A6F28936B}" xr6:coauthVersionLast="40" xr6:coauthVersionMax="40" xr10:uidLastSave="{00000000-0000-0000-0000-000000000000}"/>
  <bookViews>
    <workbookView xWindow="7590" yWindow="465" windowWidth="18285" windowHeight="15480" activeTab="1" xr2:uid="{29F3D329-8629-444F-A8FA-3AD40C72D46E}"/>
  </bookViews>
  <sheets>
    <sheet name="Sheet1" sheetId="1" r:id="rId1"/>
    <sheet name="id_inver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6" i="2" l="1"/>
  <c r="S35" i="2" s="1"/>
  <c r="I36" i="2"/>
  <c r="R35" i="2" s="1"/>
  <c r="R30" i="2"/>
  <c r="M35" i="2"/>
  <c r="N35" i="2"/>
  <c r="O35" i="2"/>
  <c r="P35" i="2"/>
  <c r="T35" i="2"/>
  <c r="U35" i="2"/>
  <c r="I35" i="2"/>
  <c r="J33" i="2"/>
  <c r="I33" i="2"/>
  <c r="K31" i="2" l="1"/>
  <c r="I31" i="2"/>
  <c r="I30" i="2"/>
  <c r="N30" i="2" s="1"/>
  <c r="S30" i="2" l="1"/>
  <c r="M30" i="2"/>
  <c r="P30" i="2"/>
  <c r="O30" i="2"/>
  <c r="T30" i="2" s="1"/>
  <c r="W23" i="2"/>
  <c r="U30" i="2" l="1"/>
  <c r="K27" i="2"/>
  <c r="I27" i="2"/>
  <c r="K23" i="2"/>
  <c r="I23" i="2"/>
  <c r="K19" i="2"/>
  <c r="I19" i="2"/>
  <c r="K15" i="2"/>
  <c r="I15" i="2"/>
  <c r="I11" i="2"/>
  <c r="I7" i="2"/>
  <c r="K3" i="2"/>
  <c r="I3" i="2"/>
  <c r="C2" i="2" l="1"/>
  <c r="B2" i="2"/>
  <c r="B26" i="2" l="1"/>
  <c r="C26" i="2"/>
  <c r="C28" i="2" s="1"/>
  <c r="I26" i="2"/>
  <c r="C22" i="2"/>
  <c r="C24" i="2" s="1"/>
  <c r="B22" i="2"/>
  <c r="I22" i="2"/>
  <c r="B18" i="2"/>
  <c r="C18" i="2"/>
  <c r="C20" i="2" s="1"/>
  <c r="I18" i="2"/>
  <c r="B14" i="2"/>
  <c r="C14" i="2"/>
  <c r="C16" i="2" s="1"/>
  <c r="I14" i="2"/>
  <c r="B10" i="2"/>
  <c r="C10" i="2"/>
  <c r="C12" i="2" s="1"/>
  <c r="I10" i="2"/>
  <c r="B6" i="2"/>
  <c r="C6" i="2"/>
  <c r="C8" i="2" s="1"/>
  <c r="I6" i="2"/>
  <c r="C4" i="2"/>
  <c r="E4" i="2" s="1"/>
  <c r="I2" i="2"/>
  <c r="M2" i="2" s="1"/>
  <c r="E20" i="2" l="1"/>
  <c r="N10" i="2"/>
  <c r="S10" i="2" s="1"/>
  <c r="O10" i="2"/>
  <c r="T10" i="2" s="1"/>
  <c r="P10" i="2"/>
  <c r="U10" i="2" s="1"/>
  <c r="M10" i="2"/>
  <c r="R10" i="2" s="1"/>
  <c r="P26" i="2"/>
  <c r="N26" i="2"/>
  <c r="S26" i="2" s="1"/>
  <c r="O26" i="2"/>
  <c r="T26" i="2" s="1"/>
  <c r="M26" i="2"/>
  <c r="M6" i="2"/>
  <c r="N6" i="2"/>
  <c r="S6" i="2" s="1"/>
  <c r="O6" i="2"/>
  <c r="T6" i="2" s="1"/>
  <c r="P6" i="2"/>
  <c r="P18" i="2"/>
  <c r="M18" i="2"/>
  <c r="N18" i="2"/>
  <c r="S18" i="2" s="1"/>
  <c r="O18" i="2"/>
  <c r="T18" i="2" s="1"/>
  <c r="E16" i="2"/>
  <c r="P22" i="2"/>
  <c r="M22" i="2"/>
  <c r="N22" i="2"/>
  <c r="S22" i="2" s="1"/>
  <c r="O22" i="2"/>
  <c r="T22" i="2" s="1"/>
  <c r="O2" i="2"/>
  <c r="T2" i="2" s="1"/>
  <c r="N2" i="2"/>
  <c r="S2" i="2" s="1"/>
  <c r="P2" i="2"/>
  <c r="E8" i="2"/>
  <c r="P14" i="2"/>
  <c r="M14" i="2"/>
  <c r="N14" i="2"/>
  <c r="S14" i="2" s="1"/>
  <c r="O14" i="2"/>
  <c r="T14" i="2" s="1"/>
  <c r="E28" i="2"/>
  <c r="E12" i="2"/>
  <c r="E24" i="2"/>
  <c r="U6" i="2" l="1"/>
  <c r="R6" i="2"/>
  <c r="U14" i="2"/>
  <c r="R14" i="2"/>
  <c r="U26" i="2"/>
  <c r="R26" i="2"/>
  <c r="U22" i="2"/>
  <c r="R22" i="2"/>
  <c r="U2" i="2"/>
  <c r="R2" i="2"/>
  <c r="U18" i="2"/>
  <c r="R18" i="2"/>
</calcChain>
</file>

<file path=xl/sharedStrings.xml><?xml version="1.0" encoding="utf-8"?>
<sst xmlns="http://schemas.openxmlformats.org/spreadsheetml/2006/main" count="196" uniqueCount="41">
  <si>
    <t>L500_id</t>
    <phoneticPr fontId="1"/>
  </si>
  <si>
    <t>L1000_di</t>
    <phoneticPr fontId="1"/>
  </si>
  <si>
    <t>L2000_id</t>
    <phoneticPr fontId="1"/>
  </si>
  <si>
    <t>padwidth</t>
    <phoneticPr fontId="1"/>
  </si>
  <si>
    <t>w3_id</t>
    <phoneticPr fontId="1"/>
  </si>
  <si>
    <t>w5_id</t>
    <phoneticPr fontId="1"/>
  </si>
  <si>
    <t>w10_id</t>
    <phoneticPr fontId="1"/>
  </si>
  <si>
    <t>w30_id</t>
    <phoneticPr fontId="1"/>
  </si>
  <si>
    <t>w50_id</t>
    <phoneticPr fontId="1"/>
  </si>
  <si>
    <t>w100_id</t>
    <phoneticPr fontId="1"/>
  </si>
  <si>
    <t>w300_id</t>
    <phoneticPr fontId="1"/>
  </si>
  <si>
    <t>傾き</t>
    <phoneticPr fontId="1"/>
  </si>
  <si>
    <t>切片</t>
    <phoneticPr fontId="1"/>
  </si>
  <si>
    <t>i_int</t>
    <phoneticPr fontId="1"/>
  </si>
  <si>
    <t>R</t>
    <phoneticPr fontId="1"/>
  </si>
  <si>
    <t>alpha_int/cm</t>
    <phoneticPr fontId="1"/>
  </si>
  <si>
    <t>w=100</t>
    <phoneticPr fontId="1"/>
  </si>
  <si>
    <t>w=3</t>
    <phoneticPr fontId="1"/>
  </si>
  <si>
    <t>w=5</t>
    <phoneticPr fontId="1"/>
  </si>
  <si>
    <t>w=10</t>
    <phoneticPr fontId="1"/>
  </si>
  <si>
    <t>w=30</t>
    <phoneticPr fontId="1"/>
  </si>
  <si>
    <t>w=50</t>
    <phoneticPr fontId="1"/>
  </si>
  <si>
    <t>w=300</t>
    <phoneticPr fontId="1"/>
  </si>
  <si>
    <t xml:space="preserve">  係数値 ±標準偏差</t>
  </si>
  <si>
    <t xml:space="preserve">  </t>
  </si>
  <si>
    <t>a</t>
  </si>
  <si>
    <t>b</t>
  </si>
  <si>
    <t>ｱ</t>
  </si>
  <si>
    <t>係数値</t>
  </si>
  <si>
    <t>±標準偏差</t>
  </si>
  <si>
    <t>-1.#J</t>
  </si>
  <si>
    <t>i_int+</t>
    <phoneticPr fontId="1"/>
  </si>
  <si>
    <t>i_int-</t>
    <phoneticPr fontId="1"/>
  </si>
  <si>
    <t>alpha</t>
    <phoneticPr fontId="1"/>
  </si>
  <si>
    <t>alpha+</t>
    <phoneticPr fontId="1"/>
  </si>
  <si>
    <t>alpha-</t>
    <phoneticPr fontId="1"/>
  </si>
  <si>
    <t>sigma_i_int</t>
    <phoneticPr fontId="1"/>
  </si>
  <si>
    <t>sigma_alpha</t>
    <phoneticPr fontId="1"/>
  </si>
  <si>
    <t xml:space="preserve"> </t>
    <phoneticPr fontId="1"/>
  </si>
  <si>
    <t>w=50~300</t>
    <phoneticPr fontId="1"/>
  </si>
  <si>
    <t>w=30~300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</si>
</sst>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6F1F5-64D5-4739-9D4F-E2D1BFD55F4F}">
  <dimension ref="A1:L19"/>
  <sheetViews>
    <sheetView workbookViewId="0">
      <selection activeCell="J12" sqref="J12"/>
    </sheetView>
  </sheetViews>
  <sheetFormatPr defaultColWidth="8.875" defaultRowHeight="18.75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4">
      <c r="B2">
        <v>0.58543299999999998</v>
      </c>
      <c r="D2">
        <v>3</v>
      </c>
    </row>
    <row r="3" spans="1:12" x14ac:dyDescent="0.4">
      <c r="B3">
        <v>0.53004700000000005</v>
      </c>
      <c r="D3">
        <v>5</v>
      </c>
    </row>
    <row r="4" spans="1:12" x14ac:dyDescent="0.4">
      <c r="B4">
        <v>0.80152299999999999</v>
      </c>
      <c r="C4">
        <v>0.15718099999999999</v>
      </c>
      <c r="D4">
        <v>10</v>
      </c>
    </row>
    <row r="5" spans="1:12" x14ac:dyDescent="0.4">
      <c r="A5">
        <v>0.68346799999999996</v>
      </c>
      <c r="B5">
        <v>0.47259400000000001</v>
      </c>
      <c r="C5">
        <v>0.240176</v>
      </c>
      <c r="D5">
        <v>30</v>
      </c>
    </row>
    <row r="6" spans="1:12" x14ac:dyDescent="0.4">
      <c r="A6">
        <v>0.70464000000000004</v>
      </c>
      <c r="B6">
        <v>0.42347499999999999</v>
      </c>
      <c r="D6">
        <v>50</v>
      </c>
    </row>
    <row r="7" spans="1:12" x14ac:dyDescent="0.4">
      <c r="A7">
        <v>0.622865</v>
      </c>
      <c r="B7">
        <v>0.44430799999999998</v>
      </c>
      <c r="C7">
        <v>9.4173300000000001E-2</v>
      </c>
      <c r="D7">
        <v>100</v>
      </c>
    </row>
    <row r="8" spans="1:12" x14ac:dyDescent="0.4">
      <c r="A8">
        <v>0.68570399999999998</v>
      </c>
      <c r="B8">
        <v>0.52154400000000001</v>
      </c>
      <c r="D8">
        <v>300</v>
      </c>
    </row>
    <row r="9" spans="1:12" x14ac:dyDescent="0.4">
      <c r="A9">
        <v>0.66087300000000004</v>
      </c>
      <c r="B9">
        <v>0.54332599999999998</v>
      </c>
      <c r="C9">
        <v>0.292103</v>
      </c>
      <c r="D9">
        <v>3</v>
      </c>
    </row>
    <row r="10" spans="1:12" x14ac:dyDescent="0.4">
      <c r="A10">
        <v>0.68468700000000005</v>
      </c>
      <c r="B10">
        <v>0.60494499999999995</v>
      </c>
      <c r="C10">
        <v>0.17214699999999999</v>
      </c>
      <c r="D10">
        <v>5</v>
      </c>
    </row>
    <row r="11" spans="1:12" x14ac:dyDescent="0.4">
      <c r="A11">
        <v>0.72621800000000003</v>
      </c>
      <c r="B11">
        <v>0.564836</v>
      </c>
      <c r="C11">
        <v>8.9769500000000002E-2</v>
      </c>
      <c r="D11">
        <v>10</v>
      </c>
    </row>
    <row r="12" spans="1:12" x14ac:dyDescent="0.4">
      <c r="A12">
        <v>0.79095400000000005</v>
      </c>
      <c r="B12">
        <v>0.42445699999999997</v>
      </c>
      <c r="C12">
        <v>0.31774999999999998</v>
      </c>
      <c r="D12">
        <v>30</v>
      </c>
    </row>
    <row r="13" spans="1:12" x14ac:dyDescent="0.4">
      <c r="A13">
        <v>0.77401600000000004</v>
      </c>
      <c r="B13">
        <v>0.43075799999999997</v>
      </c>
      <c r="C13">
        <v>0.30911899999999998</v>
      </c>
      <c r="D13">
        <v>50</v>
      </c>
    </row>
    <row r="14" spans="1:12" x14ac:dyDescent="0.4">
      <c r="A14">
        <v>0.772119</v>
      </c>
      <c r="B14">
        <v>0.42455900000000002</v>
      </c>
      <c r="C14">
        <v>0.32603300000000002</v>
      </c>
      <c r="D14">
        <v>100</v>
      </c>
    </row>
    <row r="15" spans="1:12" x14ac:dyDescent="0.4">
      <c r="A15">
        <v>0.81717300000000004</v>
      </c>
      <c r="B15">
        <v>0.50941700000000001</v>
      </c>
      <c r="D15">
        <v>300</v>
      </c>
    </row>
    <row r="16" spans="1:12" x14ac:dyDescent="0.4">
      <c r="A16">
        <v>0.81879999999999997</v>
      </c>
      <c r="D16">
        <v>3</v>
      </c>
    </row>
    <row r="17" spans="1:4" x14ac:dyDescent="0.4">
      <c r="A17">
        <v>1.5295000000000001</v>
      </c>
      <c r="D17">
        <v>5</v>
      </c>
    </row>
    <row r="18" spans="1:4" x14ac:dyDescent="0.4">
      <c r="D18">
        <v>10</v>
      </c>
    </row>
    <row r="19" spans="1:4" x14ac:dyDescent="0.4">
      <c r="A19">
        <v>1.7244900000000001</v>
      </c>
      <c r="D19">
        <v>30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7890-6CD0-48BF-9442-0F734CED5114}">
  <dimension ref="A1:W37"/>
  <sheetViews>
    <sheetView tabSelected="1" topLeftCell="A13" workbookViewId="0">
      <selection activeCell="K37" sqref="K37"/>
    </sheetView>
  </sheetViews>
  <sheetFormatPr defaultColWidth="8.875" defaultRowHeight="18.75" x14ac:dyDescent="0.4"/>
  <cols>
    <col min="5" max="5" width="12.625" bestFit="1" customWidth="1"/>
  </cols>
  <sheetData>
    <row r="1" spans="1:21" x14ac:dyDescent="0.4">
      <c r="A1" t="s">
        <v>17</v>
      </c>
      <c r="B1" t="s">
        <v>11</v>
      </c>
      <c r="C1" t="s">
        <v>12</v>
      </c>
      <c r="G1" t="s">
        <v>23</v>
      </c>
      <c r="M1" t="s">
        <v>13</v>
      </c>
      <c r="N1" t="s">
        <v>31</v>
      </c>
      <c r="O1" t="s">
        <v>32</v>
      </c>
      <c r="P1" t="s">
        <v>36</v>
      </c>
      <c r="R1" t="s">
        <v>33</v>
      </c>
      <c r="S1" t="s">
        <v>34</v>
      </c>
      <c r="T1" t="s">
        <v>35</v>
      </c>
      <c r="U1" t="s">
        <v>37</v>
      </c>
    </row>
    <row r="2" spans="1:21" x14ac:dyDescent="0.4">
      <c r="B2">
        <f>0.0013708</f>
        <v>1.3707999999999999E-3</v>
      </c>
      <c r="C2">
        <f>0.57049</f>
        <v>0.57049000000000005</v>
      </c>
      <c r="G2" t="s">
        <v>24</v>
      </c>
      <c r="H2" t="s">
        <v>25</v>
      </c>
      <c r="I2">
        <f>0.57049</f>
        <v>0.57049000000000005</v>
      </c>
      <c r="J2" t="s">
        <v>27</v>
      </c>
      <c r="K2">
        <v>0.20399999999999999</v>
      </c>
      <c r="M2">
        <f>1/I2</f>
        <v>1.7528791039282019</v>
      </c>
      <c r="N2">
        <f>1/(I2-K2)</f>
        <v>2.7285874102976884</v>
      </c>
      <c r="O2">
        <f>1/(I2+K2)</f>
        <v>1.2911722552905782</v>
      </c>
      <c r="P2">
        <f>K2/I2/I2</f>
        <v>0.62680737120957974</v>
      </c>
      <c r="R2">
        <f>I3*LN(1/D4)*M2</f>
        <v>27.378858794976423</v>
      </c>
      <c r="S2">
        <f>(I3+K3)*LN(1/D4)*N2</f>
        <v>48.183995527444878</v>
      </c>
      <c r="T2">
        <f>(I3-K3)*LN(1/D4)*O2</f>
        <v>17.533832311635955</v>
      </c>
      <c r="U2">
        <f>LN(1/D4)*SQRT((M2*K3)^2+(I3*P2)^2)</f>
        <v>10.422683074460396</v>
      </c>
    </row>
    <row r="3" spans="1:21" x14ac:dyDescent="0.4">
      <c r="C3" t="s">
        <v>13</v>
      </c>
      <c r="D3" t="s">
        <v>14</v>
      </c>
      <c r="E3" t="s">
        <v>15</v>
      </c>
      <c r="G3" t="s">
        <v>24</v>
      </c>
      <c r="H3" t="s">
        <v>26</v>
      </c>
      <c r="I3">
        <f>0.0013708*10000</f>
        <v>13.707999999999998</v>
      </c>
      <c r="J3" t="s">
        <v>27</v>
      </c>
      <c r="K3">
        <f>0.000179*10000</f>
        <v>1.7899999999999998</v>
      </c>
    </row>
    <row r="4" spans="1:21" x14ac:dyDescent="0.4">
      <c r="C4">
        <f>1/C2</f>
        <v>1.7528791039282019</v>
      </c>
      <c r="D4">
        <v>0.32</v>
      </c>
      <c r="E4">
        <f>B2*LN(1/D4)*C4*10000</f>
        <v>27.378858794976423</v>
      </c>
      <c r="M4" t="s">
        <v>38</v>
      </c>
    </row>
    <row r="5" spans="1:21" x14ac:dyDescent="0.4">
      <c r="A5" t="s">
        <v>18</v>
      </c>
      <c r="B5" t="s">
        <v>11</v>
      </c>
      <c r="C5" t="s">
        <v>12</v>
      </c>
      <c r="H5" t="s">
        <v>28</v>
      </c>
      <c r="I5" t="s">
        <v>29</v>
      </c>
      <c r="M5" t="s">
        <v>13</v>
      </c>
      <c r="N5" t="s">
        <v>31</v>
      </c>
      <c r="O5" t="s">
        <v>32</v>
      </c>
      <c r="P5" t="s">
        <v>36</v>
      </c>
      <c r="R5" t="s">
        <v>33</v>
      </c>
      <c r="S5" t="s">
        <v>34</v>
      </c>
      <c r="T5" t="s">
        <v>35</v>
      </c>
      <c r="U5" t="s">
        <v>37</v>
      </c>
    </row>
    <row r="6" spans="1:21" x14ac:dyDescent="0.4">
      <c r="B6">
        <f>0.003139</f>
        <v>3.1389999999999999E-3</v>
      </c>
      <c r="C6">
        <f>-0.8291</f>
        <v>-0.82909999999999995</v>
      </c>
      <c r="H6" t="s">
        <v>25</v>
      </c>
      <c r="I6">
        <f>-0.8291</f>
        <v>-0.82909999999999995</v>
      </c>
      <c r="J6" t="s">
        <v>27</v>
      </c>
      <c r="K6" t="s">
        <v>30</v>
      </c>
      <c r="M6">
        <f t="shared" ref="M6" si="0">1/I6</f>
        <v>-1.2061271257990593</v>
      </c>
      <c r="N6" t="e">
        <f t="shared" ref="N6" si="1">1/(I6-K6)</f>
        <v>#VALUE!</v>
      </c>
      <c r="O6" t="e">
        <f t="shared" ref="O6" si="2">1/(I6+K6)</f>
        <v>#VALUE!</v>
      </c>
      <c r="P6" t="e">
        <f t="shared" ref="P6" si="3">K6/I6/I6</f>
        <v>#VALUE!</v>
      </c>
      <c r="R6">
        <f>I7*LN(1/D8)*M6</f>
        <v>-43.139358520423073</v>
      </c>
      <c r="S6" t="e">
        <f>(I7+K7)*LN(1/D8)*N6</f>
        <v>#VALUE!</v>
      </c>
      <c r="T6" t="e">
        <f>(I7-K7)*LN(1/D8)*O6</f>
        <v>#VALUE!</v>
      </c>
      <c r="U6" t="e">
        <f>LN(1/D8)*SQRT((M6*K7)^2+(I7*P6)^2)</f>
        <v>#VALUE!</v>
      </c>
    </row>
    <row r="7" spans="1:21" x14ac:dyDescent="0.4">
      <c r="C7" t="s">
        <v>13</v>
      </c>
      <c r="D7" t="s">
        <v>14</v>
      </c>
      <c r="E7" t="s">
        <v>15</v>
      </c>
      <c r="H7" t="s">
        <v>26</v>
      </c>
      <c r="I7">
        <f>0.003139*10000</f>
        <v>31.389999999999997</v>
      </c>
      <c r="J7" t="s">
        <v>27</v>
      </c>
      <c r="K7" t="s">
        <v>30</v>
      </c>
    </row>
    <row r="8" spans="1:21" x14ac:dyDescent="0.4">
      <c r="C8">
        <f>1/C6</f>
        <v>-1.2061271257990593</v>
      </c>
      <c r="D8">
        <v>0.32</v>
      </c>
      <c r="E8">
        <f>B6*LN(1/D8)*C8*10000</f>
        <v>-43.13935852042308</v>
      </c>
      <c r="M8" t="s">
        <v>38</v>
      </c>
    </row>
    <row r="9" spans="1:21" x14ac:dyDescent="0.4">
      <c r="A9" t="s">
        <v>19</v>
      </c>
      <c r="B9" t="s">
        <v>11</v>
      </c>
      <c r="C9" t="s">
        <v>12</v>
      </c>
      <c r="H9" t="s">
        <v>28</v>
      </c>
      <c r="I9" t="s">
        <v>29</v>
      </c>
      <c r="M9" t="s">
        <v>13</v>
      </c>
      <c r="N9" t="s">
        <v>31</v>
      </c>
      <c r="O9" t="s">
        <v>32</v>
      </c>
      <c r="P9" t="s">
        <v>36</v>
      </c>
      <c r="R9" t="s">
        <v>33</v>
      </c>
      <c r="S9" t="s">
        <v>34</v>
      </c>
      <c r="T9" t="s">
        <v>35</v>
      </c>
      <c r="U9" t="s">
        <v>37</v>
      </c>
    </row>
    <row r="10" spans="1:21" x14ac:dyDescent="0.4">
      <c r="B10">
        <f>0.0036454</f>
        <v>3.6454E-3</v>
      </c>
      <c r="C10">
        <f>-1.4118</f>
        <v>-1.4117999999999999</v>
      </c>
      <c r="H10" t="s">
        <v>25</v>
      </c>
      <c r="I10">
        <f>-1.4118</f>
        <v>-1.4117999999999999</v>
      </c>
      <c r="J10" t="s">
        <v>27</v>
      </c>
      <c r="K10" t="s">
        <v>30</v>
      </c>
      <c r="M10">
        <f t="shared" ref="M10" si="4">1/I10</f>
        <v>-0.70831562544269733</v>
      </c>
      <c r="N10" t="e">
        <f t="shared" ref="N10" si="5">1/(I10-K10)</f>
        <v>#VALUE!</v>
      </c>
      <c r="O10" t="e">
        <f t="shared" ref="O10" si="6">1/(I10+K10)</f>
        <v>#VALUE!</v>
      </c>
      <c r="P10" t="e">
        <f t="shared" ref="P10" si="7">K10/I10/I10</f>
        <v>#VALUE!</v>
      </c>
      <c r="R10">
        <f>I11*LN(1/D12)*M10</f>
        <v>-29.421261764661178</v>
      </c>
      <c r="S10" t="e">
        <f>(I11+K11)*LN(1/D12)*N10</f>
        <v>#VALUE!</v>
      </c>
      <c r="T10" t="e">
        <f>(I11-K11)*LN(1/D12)*O10</f>
        <v>#VALUE!</v>
      </c>
      <c r="U10" t="e">
        <f>LN(1/D12)*SQRT((M10*K11)^2+(I11*P10)^2)</f>
        <v>#VALUE!</v>
      </c>
    </row>
    <row r="11" spans="1:21" x14ac:dyDescent="0.4">
      <c r="C11" t="s">
        <v>13</v>
      </c>
      <c r="D11" t="s">
        <v>14</v>
      </c>
      <c r="E11" t="s">
        <v>15</v>
      </c>
      <c r="H11" t="s">
        <v>26</v>
      </c>
      <c r="I11">
        <f>0.0036454*10000</f>
        <v>36.454000000000001</v>
      </c>
      <c r="J11" t="s">
        <v>27</v>
      </c>
      <c r="K11" t="s">
        <v>30</v>
      </c>
    </row>
    <row r="12" spans="1:21" x14ac:dyDescent="0.4">
      <c r="C12">
        <f>1/C10</f>
        <v>-0.70831562544269733</v>
      </c>
      <c r="D12">
        <v>0.32</v>
      </c>
      <c r="E12">
        <f>B10*LN(1/D12)*C12*10000</f>
        <v>-29.421261764661178</v>
      </c>
      <c r="M12" t="s">
        <v>38</v>
      </c>
    </row>
    <row r="13" spans="1:21" x14ac:dyDescent="0.4">
      <c r="A13" t="s">
        <v>20</v>
      </c>
      <c r="B13" t="s">
        <v>11</v>
      </c>
      <c r="C13" t="s">
        <v>12</v>
      </c>
      <c r="H13" t="s">
        <v>28</v>
      </c>
      <c r="I13" t="s">
        <v>29</v>
      </c>
      <c r="M13" t="s">
        <v>13</v>
      </c>
      <c r="N13" t="s">
        <v>31</v>
      </c>
      <c r="O13" t="s">
        <v>32</v>
      </c>
      <c r="P13" t="s">
        <v>36</v>
      </c>
      <c r="R13" t="s">
        <v>33</v>
      </c>
      <c r="S13" t="s">
        <v>34</v>
      </c>
      <c r="T13" t="s">
        <v>35</v>
      </c>
      <c r="U13" t="s">
        <v>37</v>
      </c>
    </row>
    <row r="14" spans="1:21" x14ac:dyDescent="0.4">
      <c r="B14">
        <f>0.0015123</f>
        <v>1.5123000000000001E-3</v>
      </c>
      <c r="C14">
        <f>0.65401</f>
        <v>0.65400999999999998</v>
      </c>
      <c r="H14" t="s">
        <v>25</v>
      </c>
      <c r="I14">
        <f>0.65401</f>
        <v>0.65400999999999998</v>
      </c>
      <c r="J14" t="s">
        <v>27</v>
      </c>
      <c r="K14">
        <v>0.33</v>
      </c>
      <c r="M14">
        <f t="shared" ref="M14" si="8">1/I14</f>
        <v>1.529028608125258</v>
      </c>
      <c r="N14">
        <f t="shared" ref="N14" si="9">1/(I14-K14)</f>
        <v>3.0863244961575265</v>
      </c>
      <c r="O14">
        <f t="shared" ref="O14" si="10">1/(I14+K14)</f>
        <v>1.0162498348594018</v>
      </c>
      <c r="P14">
        <f t="shared" ref="P14" si="11">K14/I14/I14</f>
        <v>0.77151639987360321</v>
      </c>
      <c r="R14">
        <f>I15*LN(1/D16)*M14</f>
        <v>26.347708237882667</v>
      </c>
      <c r="S14">
        <f>(I15+K15)*LN(1/D16)*N14</f>
        <v>61.939001974620147</v>
      </c>
      <c r="T14">
        <f>(I15-K15)*LN(1/D16)*O14</f>
        <v>14.62838111352386</v>
      </c>
      <c r="U14">
        <f>LN(1/D16)*SQRT((M14*K15)^2+(I15*P14)^2)</f>
        <v>13.98440430017309</v>
      </c>
    </row>
    <row r="15" spans="1:21" x14ac:dyDescent="0.4">
      <c r="C15" t="s">
        <v>13</v>
      </c>
      <c r="D15" t="s">
        <v>14</v>
      </c>
      <c r="E15" t="s">
        <v>15</v>
      </c>
      <c r="H15" t="s">
        <v>26</v>
      </c>
      <c r="I15">
        <f>0.0015123*10000</f>
        <v>15.123000000000001</v>
      </c>
      <c r="J15" t="s">
        <v>27</v>
      </c>
      <c r="K15">
        <f>10000*0.000249</f>
        <v>2.4899999999999998</v>
      </c>
    </row>
    <row r="16" spans="1:21" x14ac:dyDescent="0.4">
      <c r="C16">
        <f>1/C14</f>
        <v>1.529028608125258</v>
      </c>
      <c r="D16">
        <v>0.32</v>
      </c>
      <c r="E16">
        <f>B14*LN(1/D16)*C16*10000</f>
        <v>26.347708237882667</v>
      </c>
      <c r="M16" t="s">
        <v>38</v>
      </c>
    </row>
    <row r="17" spans="1:23" x14ac:dyDescent="0.4">
      <c r="A17" t="s">
        <v>21</v>
      </c>
      <c r="B17" t="s">
        <v>11</v>
      </c>
      <c r="C17" t="s">
        <v>12</v>
      </c>
      <c r="H17" t="s">
        <v>28</v>
      </c>
      <c r="I17" t="s">
        <v>29</v>
      </c>
      <c r="M17" t="s">
        <v>13</v>
      </c>
      <c r="N17" t="s">
        <v>31</v>
      </c>
      <c r="O17" t="s">
        <v>32</v>
      </c>
      <c r="P17" t="s">
        <v>36</v>
      </c>
      <c r="R17" t="s">
        <v>33</v>
      </c>
      <c r="S17" t="s">
        <v>34</v>
      </c>
      <c r="T17" t="s">
        <v>35</v>
      </c>
      <c r="U17" t="s">
        <v>37</v>
      </c>
    </row>
    <row r="18" spans="1:23" x14ac:dyDescent="0.4">
      <c r="B18">
        <f>0.001253</f>
        <v>1.253E-3</v>
      </c>
      <c r="C18">
        <f>0.87285</f>
        <v>0.87285000000000001</v>
      </c>
      <c r="H18" t="s">
        <v>25</v>
      </c>
      <c r="I18">
        <f>0.87285</f>
        <v>0.87285000000000001</v>
      </c>
      <c r="J18" t="s">
        <v>27</v>
      </c>
      <c r="K18">
        <v>0.218</v>
      </c>
      <c r="M18">
        <f t="shared" ref="M18" si="12">1/I18</f>
        <v>1.1456722231769489</v>
      </c>
      <c r="N18">
        <f t="shared" ref="N18" si="13">1/(I18-K18)</f>
        <v>1.5270672673131251</v>
      </c>
      <c r="O18">
        <f t="shared" ref="O18" si="14">1/(I18+K18)</f>
        <v>0.91671632213411547</v>
      </c>
      <c r="P18">
        <f t="shared" ref="P18" si="15">K18/I18/I18</f>
        <v>0.28613913576510841</v>
      </c>
      <c r="R18">
        <f>I19*LN(1/D20)*M18</f>
        <v>16.356890151057122</v>
      </c>
      <c r="S18">
        <f>(I19+K19)*LN(1/D20)*N18</f>
        <v>25.125495990287835</v>
      </c>
      <c r="T18">
        <f>(I19-K19)*LN(1/D20)*O18</f>
        <v>11.092993617326334</v>
      </c>
      <c r="U18">
        <f>LN(1/D20)*SQRT((M18*K19)^2+(I19*P18)^2)</f>
        <v>4.7860189063390921</v>
      </c>
    </row>
    <row r="19" spans="1:23" x14ac:dyDescent="0.4">
      <c r="C19" t="s">
        <v>13</v>
      </c>
      <c r="D19" t="s">
        <v>14</v>
      </c>
      <c r="E19" t="s">
        <v>15</v>
      </c>
      <c r="H19" t="s">
        <v>26</v>
      </c>
      <c r="I19">
        <f>0.001253*10000</f>
        <v>12.53</v>
      </c>
      <c r="J19" t="s">
        <v>27</v>
      </c>
      <c r="K19">
        <f>10000*0.000191</f>
        <v>1.9100000000000001</v>
      </c>
    </row>
    <row r="20" spans="1:23" x14ac:dyDescent="0.4">
      <c r="C20">
        <f>1/C18</f>
        <v>1.1456722231769489</v>
      </c>
      <c r="D20">
        <v>0.32</v>
      </c>
      <c r="E20">
        <f>B18*LN(1/D20)*C20*10000</f>
        <v>16.356890151057122</v>
      </c>
      <c r="M20" t="s">
        <v>38</v>
      </c>
    </row>
    <row r="21" spans="1:23" x14ac:dyDescent="0.4">
      <c r="A21" t="s">
        <v>16</v>
      </c>
      <c r="B21" t="s">
        <v>11</v>
      </c>
      <c r="C21" t="s">
        <v>12</v>
      </c>
      <c r="H21" t="s">
        <v>28</v>
      </c>
      <c r="I21" t="s">
        <v>29</v>
      </c>
      <c r="M21" t="s">
        <v>13</v>
      </c>
      <c r="N21" t="s">
        <v>31</v>
      </c>
      <c r="O21" t="s">
        <v>32</v>
      </c>
      <c r="P21" t="s">
        <v>36</v>
      </c>
      <c r="R21" t="s">
        <v>33</v>
      </c>
      <c r="S21" t="s">
        <v>34</v>
      </c>
      <c r="T21" t="s">
        <v>35</v>
      </c>
      <c r="U21" t="s">
        <v>37</v>
      </c>
    </row>
    <row r="22" spans="1:23" x14ac:dyDescent="0.4">
      <c r="B22">
        <f>0.0010779</f>
        <v>1.0778999999999999E-3</v>
      </c>
      <c r="C22">
        <f>1.0369</f>
        <v>1.0368999999999999</v>
      </c>
      <c r="H22" t="s">
        <v>25</v>
      </c>
      <c r="I22">
        <f>1.0369</f>
        <v>1.0368999999999999</v>
      </c>
      <c r="J22" t="s">
        <v>27</v>
      </c>
      <c r="K22">
        <v>0.223</v>
      </c>
      <c r="M22">
        <f t="shared" ref="M22" si="16">1/I22</f>
        <v>0.96441315459542876</v>
      </c>
      <c r="N22">
        <f t="shared" ref="N22" si="17">1/(I22-K22)</f>
        <v>1.2286521685710776</v>
      </c>
      <c r="O22">
        <f t="shared" ref="O22" si="18">1/(I22+K22)</f>
        <v>0.79371378680847682</v>
      </c>
      <c r="P22">
        <f t="shared" ref="P22" si="19">K22/I22/I22</f>
        <v>0.20741067940474553</v>
      </c>
      <c r="R22">
        <f>I23*LN(1/D24)*M22</f>
        <v>11.844885850600235</v>
      </c>
      <c r="S22">
        <f>(I23+K23)*LN(1/D24)*N22</f>
        <v>17.820197801578445</v>
      </c>
      <c r="T22">
        <f>(I23-K23)*LN(1/D24)*O22</f>
        <v>7.9848125139059238</v>
      </c>
      <c r="U22">
        <f>LN(1/D24)*SQRT((M22*K23)^2+(I23*P22)^2)</f>
        <v>3.3288141898165353</v>
      </c>
    </row>
    <row r="23" spans="1:23" x14ac:dyDescent="0.4">
      <c r="C23" t="s">
        <v>13</v>
      </c>
      <c r="D23" t="s">
        <v>14</v>
      </c>
      <c r="E23" t="s">
        <v>15</v>
      </c>
      <c r="H23" t="s">
        <v>26</v>
      </c>
      <c r="I23">
        <f>0.0010779*10000</f>
        <v>10.779</v>
      </c>
      <c r="J23" t="s">
        <v>27</v>
      </c>
      <c r="K23">
        <f>10000*0.000195</f>
        <v>1.95</v>
      </c>
      <c r="W23">
        <f>(26.3+16.4+11.8)/3</f>
        <v>18.166666666666668</v>
      </c>
    </row>
    <row r="24" spans="1:23" x14ac:dyDescent="0.4">
      <c r="C24">
        <f>1/C22</f>
        <v>0.96441315459542876</v>
      </c>
      <c r="D24">
        <v>0.32</v>
      </c>
      <c r="E24">
        <f>B22*LN(1/D24)*C24*10000</f>
        <v>11.844885850600237</v>
      </c>
      <c r="M24" t="s">
        <v>38</v>
      </c>
    </row>
    <row r="25" spans="1:23" x14ac:dyDescent="0.4">
      <c r="A25" t="s">
        <v>22</v>
      </c>
      <c r="B25" t="s">
        <v>11</v>
      </c>
      <c r="C25" t="s">
        <v>12</v>
      </c>
      <c r="H25" t="s">
        <v>28</v>
      </c>
      <c r="I25" t="s">
        <v>29</v>
      </c>
      <c r="M25" t="s">
        <v>13</v>
      </c>
      <c r="N25" t="s">
        <v>31</v>
      </c>
      <c r="O25" t="s">
        <v>32</v>
      </c>
      <c r="P25" t="s">
        <v>36</v>
      </c>
      <c r="R25" t="s">
        <v>33</v>
      </c>
      <c r="S25" t="s">
        <v>34</v>
      </c>
      <c r="T25" t="s">
        <v>35</v>
      </c>
      <c r="U25" t="s">
        <v>37</v>
      </c>
    </row>
    <row r="26" spans="1:23" x14ac:dyDescent="0.4">
      <c r="B26">
        <f>0.0011983</f>
        <v>1.1983E-3</v>
      </c>
      <c r="C26">
        <f>0.74188</f>
        <v>0.74187999999999998</v>
      </c>
      <c r="H26" t="s">
        <v>25</v>
      </c>
      <c r="I26">
        <f>0.74188</f>
        <v>0.74187999999999998</v>
      </c>
      <c r="J26" t="s">
        <v>27</v>
      </c>
      <c r="K26">
        <v>0.189</v>
      </c>
      <c r="M26">
        <f t="shared" ref="M26" si="20">1/I26</f>
        <v>1.3479268884455708</v>
      </c>
      <c r="N26">
        <f t="shared" ref="N26" si="21">1/(I26-K26)</f>
        <v>1.8087107509767038</v>
      </c>
      <c r="O26">
        <f t="shared" ref="O26" si="22">1/(I26+K26)</f>
        <v>1.0742523203850121</v>
      </c>
      <c r="P26">
        <f t="shared" ref="P26" si="23">K26/I26/I26</f>
        <v>0.34339540345637148</v>
      </c>
      <c r="R26">
        <f>I27*LN(1/D28)*M26</f>
        <v>18.404379435280877</v>
      </c>
      <c r="S26">
        <f>(I27+K27)*LN(1/D28)*N26</f>
        <v>29.621416857665984</v>
      </c>
      <c r="T26">
        <f>(I27-K27)*LN(1/D28)*O26</f>
        <v>11.742214977898316</v>
      </c>
      <c r="U26">
        <f>LN(1/D28)*SQRT((M26*K27)^2+(I27*P26)^2)</f>
        <v>5.9546550548095674</v>
      </c>
    </row>
    <row r="27" spans="1:23" x14ac:dyDescent="0.4">
      <c r="C27" t="s">
        <v>13</v>
      </c>
      <c r="D27" t="s">
        <v>14</v>
      </c>
      <c r="E27" t="s">
        <v>15</v>
      </c>
      <c r="H27" t="s">
        <v>26</v>
      </c>
      <c r="I27">
        <f>0.0011983*10000</f>
        <v>11.983000000000001</v>
      </c>
      <c r="J27" t="s">
        <v>27</v>
      </c>
      <c r="K27">
        <f>10000*0.000239</f>
        <v>2.39</v>
      </c>
    </row>
    <row r="28" spans="1:23" x14ac:dyDescent="0.4">
      <c r="C28">
        <f>1/C26</f>
        <v>1.3479268884455708</v>
      </c>
      <c r="D28">
        <v>0.32</v>
      </c>
      <c r="E28">
        <f>B26*LN(1/D28)*C28*10000</f>
        <v>18.404379435280877</v>
      </c>
      <c r="M28" t="s">
        <v>38</v>
      </c>
    </row>
    <row r="29" spans="1:23" x14ac:dyDescent="0.4">
      <c r="H29" t="s">
        <v>28</v>
      </c>
      <c r="I29" t="s">
        <v>29</v>
      </c>
      <c r="M29" t="s">
        <v>13</v>
      </c>
      <c r="N29" t="s">
        <v>31</v>
      </c>
      <c r="O29" t="s">
        <v>32</v>
      </c>
      <c r="P29" t="s">
        <v>36</v>
      </c>
      <c r="R29" t="s">
        <v>33</v>
      </c>
      <c r="S29" t="s">
        <v>34</v>
      </c>
      <c r="T29" t="s">
        <v>35</v>
      </c>
      <c r="U29" t="s">
        <v>37</v>
      </c>
    </row>
    <row r="30" spans="1:23" x14ac:dyDescent="0.4">
      <c r="A30" t="s">
        <v>39</v>
      </c>
      <c r="H30" t="s">
        <v>25</v>
      </c>
      <c r="I30">
        <f>0.8624</f>
        <v>0.86240000000000006</v>
      </c>
      <c r="J30" t="s">
        <v>27</v>
      </c>
      <c r="K30">
        <v>0.114</v>
      </c>
      <c r="M30">
        <f t="shared" ref="M30" si="24">1/I30</f>
        <v>1.1595547309833023</v>
      </c>
      <c r="N30">
        <f t="shared" ref="N30" si="25">1/(I30-K30)</f>
        <v>1.3361838588989843</v>
      </c>
      <c r="O30">
        <f t="shared" ref="O30" si="26">1/(I30+K30)</f>
        <v>1.0241704219582137</v>
      </c>
      <c r="P30">
        <f t="shared" ref="P30" si="27">K30/I30/I30</f>
        <v>0.15328065785261649</v>
      </c>
      <c r="R30">
        <f>I31*LN(1/D32)*M30</f>
        <v>15.948644749961446</v>
      </c>
      <c r="S30">
        <f>(I31+K31)*LN(1/D32)*N30</f>
        <v>20.022314615459891</v>
      </c>
      <c r="T30">
        <f>(I31-K31)*LN(1/D32)*O30</f>
        <v>12.826221022658046</v>
      </c>
      <c r="U30">
        <f>LN(1/D32)*SQRT((M30*K31)^2+(I31*P30)^2)</f>
        <v>2.5457448864121859</v>
      </c>
    </row>
    <row r="31" spans="1:23" x14ac:dyDescent="0.4">
      <c r="D31" t="s">
        <v>14</v>
      </c>
      <c r="H31" t="s">
        <v>26</v>
      </c>
      <c r="I31">
        <f>0.0012071*10000</f>
        <v>12.071</v>
      </c>
      <c r="J31" t="s">
        <v>27</v>
      </c>
      <c r="K31">
        <f>10000*0.000108</f>
        <v>1.0799999999999998</v>
      </c>
    </row>
    <row r="32" spans="1:23" x14ac:dyDescent="0.4">
      <c r="D32">
        <v>0.32</v>
      </c>
    </row>
    <row r="33" spans="1:21" x14ac:dyDescent="0.4">
      <c r="I33">
        <f>M26+M22+M18</f>
        <v>3.4580122662179482</v>
      </c>
      <c r="J33">
        <f>I33/3</f>
        <v>1.1526707554059827</v>
      </c>
    </row>
    <row r="34" spans="1:21" x14ac:dyDescent="0.4">
      <c r="A34" t="s">
        <v>40</v>
      </c>
      <c r="G34" t="s">
        <v>23</v>
      </c>
      <c r="M34" t="s">
        <v>13</v>
      </c>
      <c r="N34" t="s">
        <v>31</v>
      </c>
      <c r="O34" t="s">
        <v>32</v>
      </c>
      <c r="P34" t="s">
        <v>36</v>
      </c>
      <c r="R34" t="s">
        <v>33</v>
      </c>
      <c r="S34" t="s">
        <v>34</v>
      </c>
      <c r="T34" t="s">
        <v>35</v>
      </c>
      <c r="U34" t="s">
        <v>37</v>
      </c>
    </row>
    <row r="35" spans="1:21" x14ac:dyDescent="0.4">
      <c r="D35" t="s">
        <v>14</v>
      </c>
      <c r="G35" t="s">
        <v>24</v>
      </c>
      <c r="H35" t="s">
        <v>25</v>
      </c>
      <c r="I35">
        <f>0.76624</f>
        <v>0.76624000000000003</v>
      </c>
      <c r="J35" t="s">
        <v>27</v>
      </c>
      <c r="K35">
        <v>0.13200000000000001</v>
      </c>
      <c r="M35">
        <f>1/I35</f>
        <v>1.3050741282104823</v>
      </c>
      <c r="N35">
        <f t="shared" ref="N35" si="28">1/(I35-K35)</f>
        <v>1.5766902119071644</v>
      </c>
      <c r="O35">
        <f t="shared" ref="O35" si="29">1/(I35+K35)</f>
        <v>1.1132882080513002</v>
      </c>
      <c r="P35">
        <f t="shared" ref="P35" si="30">K35/I35/I35</f>
        <v>0.22482483937641426</v>
      </c>
      <c r="R35">
        <f>I36*LN(1/D37)*M35</f>
        <v>20.054305104247085</v>
      </c>
      <c r="S35">
        <f>(I36+K36)*LN(1/D37)*N35</f>
        <v>26.258153826755077</v>
      </c>
      <c r="T35">
        <f>(I36-K36)*LN(1/D37)*O35</f>
        <v>15.673817691346892</v>
      </c>
      <c r="U35">
        <f>LN(1/D37)*SQRT((M35*K36)^2+(I36*P35)^2)</f>
        <v>3.8417340401318376</v>
      </c>
    </row>
    <row r="36" spans="1:21" x14ac:dyDescent="0.4">
      <c r="D36">
        <v>0.32</v>
      </c>
      <c r="G36" t="s">
        <v>24</v>
      </c>
      <c r="H36" t="s">
        <v>26</v>
      </c>
      <c r="I36">
        <f>0.0013486*10000</f>
        <v>13.485999999999999</v>
      </c>
      <c r="J36" t="s">
        <v>27</v>
      </c>
      <c r="K36">
        <f>0.000113*10000</f>
        <v>1.1299999999999999</v>
      </c>
    </row>
    <row r="37" spans="1:21" x14ac:dyDescent="0.4">
      <c r="D37">
        <v>0.32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id_inverse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2018-12-18T06:39:03Z</dcterms:created>
  <dcterms:modified xsi:type="dcterms:W3CDTF">2019-01-30T05:03:29Z</dcterms:modified>
</cp:coreProperties>
</file>