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7E5E9588-00CD-49B9-9B35-74769C5A595D}" xr6:coauthVersionLast="40" xr6:coauthVersionMax="40" xr10:uidLastSave="{00000000-0000-0000-0000-000000000000}"/>
  <bookViews>
    <workbookView xWindow="1965" yWindow="0" windowWidth="18270" windowHeight="7980" xr2:uid="{40FD3CC7-F263-4D44-B85A-EA44070D3688}"/>
  </bookViews>
  <sheets>
    <sheet name="Sheet1" sheetId="1" r:id="rId1"/>
    <sheet name="L400" sheetId="2" r:id="rId2"/>
    <sheet name="L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I17" i="1" s="1"/>
  <c r="K17" i="1" s="1"/>
  <c r="K23" i="1"/>
  <c r="I23" i="1"/>
  <c r="E18" i="1"/>
  <c r="I18" i="1" s="1"/>
  <c r="K18" i="1" s="1"/>
  <c r="E19" i="1"/>
  <c r="I19" i="1" s="1"/>
  <c r="K19" i="1" s="1"/>
  <c r="E20" i="1"/>
  <c r="I20" i="1" s="1"/>
  <c r="K20" i="1" s="1"/>
  <c r="E21" i="1"/>
  <c r="I21" i="1" s="1"/>
  <c r="K21" i="1" s="1"/>
  <c r="E22" i="1"/>
  <c r="I22" i="1" s="1"/>
  <c r="K22" i="1" s="1"/>
  <c r="E23" i="1"/>
  <c r="C13" i="1"/>
  <c r="D23" i="1" s="1"/>
  <c r="C14" i="1"/>
  <c r="C15" i="1"/>
  <c r="C16" i="1"/>
  <c r="C17" i="1"/>
  <c r="C18" i="1"/>
  <c r="D18" i="1" s="1"/>
  <c r="C19" i="1"/>
  <c r="D17" i="1" s="1"/>
  <c r="C20" i="1"/>
  <c r="D16" i="1" s="1"/>
  <c r="C21" i="1"/>
  <c r="D15" i="1" s="1"/>
  <c r="C22" i="1"/>
  <c r="D14" i="1" s="1"/>
  <c r="C23" i="1"/>
  <c r="D19" i="1" l="1"/>
  <c r="D20" i="1"/>
  <c r="D13" i="1"/>
  <c r="D21" i="1"/>
  <c r="D22" i="1"/>
  <c r="Q11" i="3"/>
  <c r="Q12" i="3"/>
  <c r="Q13" i="3"/>
  <c r="Q14" i="3"/>
  <c r="Q15" i="3"/>
  <c r="Q10" i="3"/>
  <c r="J10" i="3"/>
  <c r="J11" i="3"/>
  <c r="J12" i="3"/>
  <c r="J13" i="3"/>
  <c r="J14" i="3"/>
  <c r="J15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S14" i="3"/>
  <c r="S11" i="3"/>
  <c r="N5" i="3"/>
  <c r="N4" i="3"/>
  <c r="N3" i="3"/>
  <c r="N2" i="3"/>
  <c r="E29" i="3"/>
  <c r="E30" i="3"/>
  <c r="E31" i="3"/>
  <c r="E32" i="3"/>
  <c r="M5" i="3"/>
  <c r="M4" i="3"/>
  <c r="M3" i="3"/>
  <c r="M2" i="3"/>
  <c r="E24" i="3"/>
  <c r="E25" i="3"/>
  <c r="E26" i="3"/>
  <c r="E27" i="3"/>
  <c r="L5" i="3"/>
  <c r="L4" i="3"/>
  <c r="L3" i="3"/>
  <c r="L2" i="3"/>
  <c r="E19" i="3"/>
  <c r="E20" i="3"/>
  <c r="E21" i="3"/>
  <c r="E22" i="3"/>
  <c r="K5" i="3"/>
  <c r="K4" i="3"/>
  <c r="K3" i="3"/>
  <c r="K2" i="3"/>
  <c r="E14" i="3"/>
  <c r="E15" i="3"/>
  <c r="E16" i="3"/>
  <c r="E17" i="3"/>
  <c r="J5" i="3"/>
  <c r="J4" i="3"/>
  <c r="J3" i="3"/>
  <c r="J2" i="3"/>
  <c r="E9" i="3"/>
  <c r="E10" i="3"/>
  <c r="E11" i="3"/>
  <c r="E12" i="3"/>
  <c r="I5" i="3"/>
  <c r="I4" i="3"/>
  <c r="I3" i="3"/>
  <c r="I2" i="3"/>
  <c r="D4" i="3"/>
  <c r="D5" i="3"/>
  <c r="D6" i="3"/>
  <c r="D7" i="3"/>
  <c r="S10" i="2"/>
  <c r="S11" i="2"/>
  <c r="S12" i="2"/>
  <c r="S13" i="2"/>
  <c r="S14" i="2"/>
  <c r="S15" i="2"/>
  <c r="S9" i="2"/>
  <c r="Q15" i="2"/>
  <c r="J10" i="2"/>
  <c r="J11" i="2"/>
  <c r="J12" i="2"/>
  <c r="Q12" i="2" s="1"/>
  <c r="J13" i="2"/>
  <c r="Q13" i="2" s="1"/>
  <c r="J14" i="2"/>
  <c r="Q14" i="2" s="1"/>
  <c r="J15" i="2"/>
  <c r="J9" i="2"/>
  <c r="Q9" i="2" s="1"/>
  <c r="M18" i="2"/>
  <c r="Q10" i="2"/>
  <c r="Q11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N5" i="2"/>
  <c r="N4" i="2"/>
  <c r="N3" i="2"/>
  <c r="N2" i="2"/>
  <c r="E36" i="2"/>
  <c r="E37" i="2"/>
  <c r="E38" i="2"/>
  <c r="E39" i="2"/>
  <c r="M5" i="2"/>
  <c r="M4" i="2"/>
  <c r="M3" i="2"/>
  <c r="M2" i="2"/>
  <c r="E31" i="2"/>
  <c r="E32" i="2"/>
  <c r="E33" i="2"/>
  <c r="E34" i="2"/>
  <c r="L5" i="2"/>
  <c r="L4" i="2"/>
  <c r="L3" i="2"/>
  <c r="L2" i="2"/>
  <c r="E25" i="2"/>
  <c r="E26" i="2"/>
  <c r="E27" i="2"/>
  <c r="E28" i="2"/>
  <c r="K5" i="2"/>
  <c r="K4" i="2"/>
  <c r="K3" i="2"/>
  <c r="K2" i="2"/>
  <c r="E20" i="2"/>
  <c r="E21" i="2"/>
  <c r="E22" i="2"/>
  <c r="E23" i="2"/>
  <c r="J5" i="2"/>
  <c r="J4" i="2"/>
  <c r="J3" i="2"/>
  <c r="J2" i="2"/>
  <c r="E15" i="2"/>
  <c r="E16" i="2"/>
  <c r="E17" i="2"/>
  <c r="E18" i="2"/>
  <c r="I5" i="2"/>
  <c r="I4" i="2"/>
  <c r="I3" i="2"/>
  <c r="I2" i="2"/>
  <c r="E9" i="2"/>
  <c r="E10" i="2"/>
  <c r="E11" i="2"/>
  <c r="E12" i="2"/>
  <c r="H5" i="2"/>
  <c r="H4" i="2"/>
  <c r="H3" i="2"/>
  <c r="H2" i="2"/>
  <c r="E5" i="2"/>
  <c r="E6" i="2"/>
  <c r="E7" i="2"/>
  <c r="E4" i="1"/>
  <c r="S13" i="3" l="1"/>
  <c r="S12" i="3"/>
  <c r="S10" i="3"/>
</calcChain>
</file>

<file path=xl/sharedStrings.xml><?xml version="1.0" encoding="utf-8"?>
<sst xmlns="http://schemas.openxmlformats.org/spreadsheetml/2006/main" count="174" uniqueCount="26">
  <si>
    <t>10QW L=300</t>
    <phoneticPr fontId="1"/>
  </si>
  <si>
    <t>raw FWHM</t>
    <phoneticPr fontId="1"/>
  </si>
  <si>
    <t>applied voltage</t>
    <phoneticPr fontId="1"/>
  </si>
  <si>
    <t>sig_instrument</t>
    <phoneticPr fontId="1"/>
  </si>
  <si>
    <t xml:space="preserve">  係数値 ±標準偏差</t>
  </si>
  <si>
    <t xml:space="preserve">  </t>
  </si>
  <si>
    <t>width</t>
  </si>
  <si>
    <t>y0</t>
  </si>
  <si>
    <t>A</t>
  </si>
  <si>
    <t>x0</t>
  </si>
  <si>
    <t>ｱ</t>
  </si>
  <si>
    <t>係数値</t>
  </si>
  <si>
    <t>±標準偏差</t>
  </si>
  <si>
    <t>W_sigma={0.00162,0.00254,3.72e-05,6.81e-05}</t>
  </si>
  <si>
    <t>*ModifyGraph</t>
  </si>
  <si>
    <t>offset(fit_data005_y_Norm)=</t>
  </si>
  <si>
    <t>sig_instruments</t>
    <phoneticPr fontId="1"/>
  </si>
  <si>
    <t>sigconvolutionに相当</t>
    <phoneticPr fontId="1"/>
  </si>
  <si>
    <t>求めたいsig_in</t>
    <phoneticPr fontId="1"/>
  </si>
  <si>
    <t>ひ</t>
    <phoneticPr fontId="1"/>
  </si>
  <si>
    <t>docombo FWHM</t>
    <phoneticPr fontId="1"/>
  </si>
  <si>
    <t xml:space="preserve"> </t>
    <phoneticPr fontId="1"/>
  </si>
  <si>
    <t>L400_voltage</t>
    <phoneticPr fontId="1"/>
  </si>
  <si>
    <t>set volage</t>
    <phoneticPr fontId="1"/>
  </si>
  <si>
    <t>sig_instrumetn</t>
    <phoneticPr fontId="1"/>
  </si>
  <si>
    <t>deconvo FWHM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</si>
</sst>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674C-6AD7-4444-B64F-A1F8EC11BAEB}">
  <dimension ref="A1:K23"/>
  <sheetViews>
    <sheetView tabSelected="1" workbookViewId="0">
      <selection activeCell="J12" sqref="J12"/>
    </sheetView>
  </sheetViews>
  <sheetFormatPr defaultRowHeight="18.75" x14ac:dyDescent="0.4"/>
  <sheetData>
    <row r="1" spans="1:11" x14ac:dyDescent="0.4">
      <c r="B1" t="s">
        <v>0</v>
      </c>
      <c r="F1">
        <v>51.5</v>
      </c>
    </row>
    <row r="2" spans="1:11" x14ac:dyDescent="0.4">
      <c r="B2" t="s">
        <v>2</v>
      </c>
      <c r="C2" t="s">
        <v>1</v>
      </c>
      <c r="D2" t="s">
        <v>3</v>
      </c>
      <c r="F2">
        <v>43.7</v>
      </c>
    </row>
    <row r="3" spans="1:11" x14ac:dyDescent="0.4">
      <c r="A3">
        <v>1.5</v>
      </c>
      <c r="B3">
        <v>25.7</v>
      </c>
      <c r="D3">
        <v>9.8000000000000007</v>
      </c>
    </row>
    <row r="4" spans="1:11" x14ac:dyDescent="0.4">
      <c r="A4">
        <v>1.6</v>
      </c>
      <c r="B4">
        <v>27.2</v>
      </c>
      <c r="C4">
        <v>4.6117100000000001E-2</v>
      </c>
      <c r="D4">
        <v>9.8000000000000007</v>
      </c>
      <c r="E4">
        <f>SQRT(C4^2+D4^2)</f>
        <v>9.8001085089356241</v>
      </c>
    </row>
    <row r="5" spans="1:11" x14ac:dyDescent="0.4">
      <c r="A5">
        <v>1.7</v>
      </c>
      <c r="B5">
        <v>28.6</v>
      </c>
      <c r="C5">
        <v>3.72527E-2</v>
      </c>
      <c r="D5">
        <v>9.8000000000000007</v>
      </c>
    </row>
    <row r="6" spans="1:11" x14ac:dyDescent="0.4">
      <c r="A6">
        <v>1.8</v>
      </c>
      <c r="B6">
        <v>30</v>
      </c>
      <c r="C6">
        <v>3.4502999999999999E-2</v>
      </c>
      <c r="D6">
        <v>9.8000000000000007</v>
      </c>
    </row>
    <row r="7" spans="1:11" x14ac:dyDescent="0.4">
      <c r="A7">
        <v>1.9</v>
      </c>
      <c r="B7">
        <v>31.3</v>
      </c>
      <c r="C7">
        <v>3.2341399999999999E-2</v>
      </c>
      <c r="D7">
        <v>9.8000000000000007</v>
      </c>
    </row>
    <row r="8" spans="1:11" x14ac:dyDescent="0.4">
      <c r="A8">
        <v>2</v>
      </c>
      <c r="B8">
        <v>32.6</v>
      </c>
      <c r="C8">
        <v>3.17215E-2</v>
      </c>
      <c r="D8">
        <v>9.8000000000000007</v>
      </c>
    </row>
    <row r="12" spans="1:11" x14ac:dyDescent="0.4">
      <c r="B12" t="s">
        <v>23</v>
      </c>
      <c r="D12" t="s">
        <v>2</v>
      </c>
    </row>
    <row r="13" spans="1:11" x14ac:dyDescent="0.4">
      <c r="B13">
        <v>1</v>
      </c>
      <c r="C13">
        <f t="shared" ref="C13:C23" si="0">B13*17.994+0.6553</f>
        <v>18.6493</v>
      </c>
      <c r="D13">
        <f>ROUND(C13,1)</f>
        <v>18.600000000000001</v>
      </c>
    </row>
    <row r="14" spans="1:11" x14ac:dyDescent="0.4">
      <c r="B14">
        <v>1.1000000000000001</v>
      </c>
      <c r="C14">
        <f t="shared" si="0"/>
        <v>20.448700000000002</v>
      </c>
      <c r="D14">
        <f t="shared" ref="D14:D23" si="1">ROUND(C14,1)</f>
        <v>20.399999999999999</v>
      </c>
    </row>
    <row r="15" spans="1:11" x14ac:dyDescent="0.4">
      <c r="B15">
        <v>1.2</v>
      </c>
      <c r="C15">
        <f t="shared" si="0"/>
        <v>22.248100000000001</v>
      </c>
      <c r="D15">
        <f t="shared" si="1"/>
        <v>22.2</v>
      </c>
    </row>
    <row r="16" spans="1:11" x14ac:dyDescent="0.4">
      <c r="B16">
        <v>1.3</v>
      </c>
      <c r="C16">
        <f t="shared" si="0"/>
        <v>24.047499999999999</v>
      </c>
      <c r="D16">
        <f t="shared" si="1"/>
        <v>24</v>
      </c>
      <c r="E16" t="s">
        <v>18</v>
      </c>
      <c r="F16" t="s">
        <v>24</v>
      </c>
      <c r="I16" t="s">
        <v>19</v>
      </c>
      <c r="J16" t="s">
        <v>1</v>
      </c>
      <c r="K16" t="s">
        <v>25</v>
      </c>
    </row>
    <row r="17" spans="2:11" x14ac:dyDescent="0.4">
      <c r="B17">
        <v>1.4</v>
      </c>
      <c r="C17">
        <f t="shared" si="0"/>
        <v>25.846899999999998</v>
      </c>
      <c r="D17">
        <f t="shared" si="1"/>
        <v>25.8</v>
      </c>
      <c r="E17">
        <f t="shared" ref="E17:E23" si="2">SQRT(G17^2-F17^2)</f>
        <v>36.093212658337855</v>
      </c>
      <c r="F17">
        <v>9.8000000000000007</v>
      </c>
      <c r="G17">
        <v>37.4</v>
      </c>
      <c r="I17">
        <f t="shared" ref="I17:I23" si="3">G17/E17</f>
        <v>1.0362059025898396</v>
      </c>
      <c r="J17">
        <v>51.5</v>
      </c>
      <c r="K17">
        <f t="shared" ref="K17:K23" si="4">J17/I17</f>
        <v>49.700546842363622</v>
      </c>
    </row>
    <row r="18" spans="2:11" x14ac:dyDescent="0.4">
      <c r="B18">
        <v>1.5</v>
      </c>
      <c r="C18">
        <f t="shared" si="0"/>
        <v>27.6463</v>
      </c>
      <c r="D18">
        <f t="shared" si="1"/>
        <v>27.6</v>
      </c>
      <c r="E18">
        <f t="shared" si="2"/>
        <v>25.587496946751159</v>
      </c>
      <c r="F18">
        <v>9.8000000000000007</v>
      </c>
      <c r="G18">
        <v>27.4</v>
      </c>
      <c r="I18">
        <f t="shared" si="3"/>
        <v>1.0708354966107372</v>
      </c>
      <c r="J18">
        <v>43.7</v>
      </c>
      <c r="K18">
        <f t="shared" si="4"/>
        <v>40.809256079307509</v>
      </c>
    </row>
    <row r="19" spans="2:11" x14ac:dyDescent="0.4">
      <c r="B19">
        <v>1.6</v>
      </c>
      <c r="C19">
        <f t="shared" si="0"/>
        <v>29.445700000000002</v>
      </c>
      <c r="D19">
        <f t="shared" si="1"/>
        <v>29.4</v>
      </c>
      <c r="E19">
        <f t="shared" si="2"/>
        <v>20.807690885823924</v>
      </c>
      <c r="F19">
        <v>9.8000000000000007</v>
      </c>
      <c r="G19">
        <v>23</v>
      </c>
      <c r="I19">
        <f t="shared" si="3"/>
        <v>1.1053605191563891</v>
      </c>
      <c r="J19">
        <v>35.4</v>
      </c>
      <c r="K19">
        <f t="shared" si="4"/>
        <v>32.025750319920299</v>
      </c>
    </row>
    <row r="20" spans="2:11" x14ac:dyDescent="0.4">
      <c r="B20">
        <v>1.7</v>
      </c>
      <c r="C20">
        <f t="shared" si="0"/>
        <v>31.245100000000001</v>
      </c>
      <c r="D20">
        <f t="shared" si="1"/>
        <v>31.2</v>
      </c>
      <c r="E20">
        <f t="shared" si="2"/>
        <v>18.119602644649802</v>
      </c>
      <c r="F20">
        <v>9.8000000000000007</v>
      </c>
      <c r="G20">
        <v>20.6</v>
      </c>
      <c r="I20">
        <f t="shared" si="3"/>
        <v>1.1368902731474959</v>
      </c>
      <c r="J20">
        <v>32.6</v>
      </c>
      <c r="K20">
        <f t="shared" si="4"/>
        <v>28.674710981339004</v>
      </c>
    </row>
    <row r="21" spans="2:11" x14ac:dyDescent="0.4">
      <c r="B21">
        <v>1.8</v>
      </c>
      <c r="C21">
        <f t="shared" si="0"/>
        <v>33.044499999999999</v>
      </c>
      <c r="D21">
        <f t="shared" si="1"/>
        <v>33</v>
      </c>
      <c r="E21">
        <f t="shared" si="2"/>
        <v>17.777795138880411</v>
      </c>
      <c r="F21">
        <v>9.8000000000000007</v>
      </c>
      <c r="G21">
        <v>20.3</v>
      </c>
      <c r="I21">
        <f t="shared" si="3"/>
        <v>1.1418738848893288</v>
      </c>
      <c r="J21">
        <v>31.4</v>
      </c>
      <c r="K21">
        <f t="shared" si="4"/>
        <v>27.498658490682015</v>
      </c>
    </row>
    <row r="22" spans="2:11" x14ac:dyDescent="0.4">
      <c r="B22">
        <v>1.9</v>
      </c>
      <c r="C22">
        <f t="shared" si="0"/>
        <v>34.843899999999998</v>
      </c>
      <c r="D22">
        <f t="shared" si="1"/>
        <v>34.799999999999997</v>
      </c>
      <c r="E22">
        <f t="shared" si="2"/>
        <v>18.119602644649802</v>
      </c>
      <c r="F22">
        <v>9.8000000000000007</v>
      </c>
      <c r="G22">
        <v>20.6</v>
      </c>
      <c r="I22">
        <f t="shared" si="3"/>
        <v>1.1368902731474959</v>
      </c>
      <c r="J22">
        <v>32.799999999999997</v>
      </c>
      <c r="K22">
        <f t="shared" si="4"/>
        <v>28.850629453617156</v>
      </c>
    </row>
    <row r="23" spans="2:11" x14ac:dyDescent="0.4">
      <c r="B23">
        <v>2</v>
      </c>
      <c r="C23">
        <f t="shared" si="0"/>
        <v>36.643299999999996</v>
      </c>
      <c r="D23">
        <f t="shared" si="1"/>
        <v>36.6</v>
      </c>
      <c r="E23">
        <f t="shared" si="2"/>
        <v>18.005832388423478</v>
      </c>
      <c r="F23">
        <v>9.8000000000000007</v>
      </c>
      <c r="G23">
        <v>20.5</v>
      </c>
      <c r="I23">
        <f t="shared" si="3"/>
        <v>1.1385199838459066</v>
      </c>
      <c r="J23">
        <v>33</v>
      </c>
      <c r="K23">
        <f t="shared" si="4"/>
        <v>28.984998478925601</v>
      </c>
    </row>
  </sheetData>
  <sortState xmlns:xlrd2="http://schemas.microsoft.com/office/spreadsheetml/2017/richdata2" ref="B13:C23">
    <sortCondition ref="B13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E7CC-DE9E-43AE-A1AA-250268823D60}">
  <dimension ref="C1:S39"/>
  <sheetViews>
    <sheetView workbookViewId="0">
      <selection activeCell="K9" sqref="K9:K15"/>
    </sheetView>
  </sheetViews>
  <sheetFormatPr defaultRowHeight="18.75" x14ac:dyDescent="0.4"/>
  <cols>
    <col min="17" max="17" width="11.625" bestFit="1" customWidth="1"/>
  </cols>
  <sheetData>
    <row r="1" spans="3:19" x14ac:dyDescent="0.4">
      <c r="H1">
        <v>33</v>
      </c>
      <c r="I1">
        <v>31.7</v>
      </c>
      <c r="J1">
        <v>30.1</v>
      </c>
      <c r="K1">
        <v>28.7</v>
      </c>
      <c r="L1">
        <v>27.6</v>
      </c>
      <c r="M1">
        <v>26</v>
      </c>
      <c r="N1">
        <v>24.4</v>
      </c>
    </row>
    <row r="2" spans="3:19" x14ac:dyDescent="0.4">
      <c r="G2" t="s">
        <v>7</v>
      </c>
      <c r="H2">
        <f>0.015527</f>
        <v>1.5526999999999999E-2</v>
      </c>
      <c r="I2">
        <f>0.022117</f>
        <v>2.2117000000000001E-2</v>
      </c>
      <c r="J2">
        <f>0.018014</f>
        <v>1.8013999999999999E-2</v>
      </c>
      <c r="K2">
        <f>0.029293</f>
        <v>2.9293E-2</v>
      </c>
      <c r="L2">
        <f>0.037723</f>
        <v>3.7723E-2</v>
      </c>
      <c r="M2">
        <f>0.038306</f>
        <v>3.8306E-2</v>
      </c>
      <c r="N2">
        <f>0.040509</f>
        <v>4.0509000000000003E-2</v>
      </c>
    </row>
    <row r="3" spans="3:19" x14ac:dyDescent="0.4">
      <c r="G3" t="s">
        <v>8</v>
      </c>
      <c r="H3">
        <f>0.9733</f>
        <v>0.97330000000000005</v>
      </c>
      <c r="I3">
        <f>0.96436</f>
        <v>0.96435999999999999</v>
      </c>
      <c r="J3">
        <f>0.95835</f>
        <v>0.95835000000000004</v>
      </c>
      <c r="K3">
        <f>0.95565</f>
        <v>0.95565</v>
      </c>
      <c r="L3">
        <f>0.93484</f>
        <v>0.93484</v>
      </c>
      <c r="M3">
        <f>0.9281</f>
        <v>0.92810000000000004</v>
      </c>
      <c r="N3">
        <f>0.91473</f>
        <v>0.91473000000000004</v>
      </c>
    </row>
    <row r="4" spans="3:19" x14ac:dyDescent="0.4">
      <c r="C4" t="s">
        <v>4</v>
      </c>
      <c r="G4" t="s">
        <v>9</v>
      </c>
      <c r="H4">
        <f>0.10214</f>
        <v>0.10213999999999999</v>
      </c>
      <c r="I4">
        <f>0.11416</f>
        <v>0.11416</v>
      </c>
      <c r="J4">
        <f>0.1281</f>
        <v>0.12809999999999999</v>
      </c>
      <c r="K4">
        <f>0.14647</f>
        <v>0.14646999999999999</v>
      </c>
      <c r="L4">
        <f>0.17235</f>
        <v>0.17235</v>
      </c>
      <c r="M4">
        <f>0.20713</f>
        <v>0.20713000000000001</v>
      </c>
      <c r="N4">
        <f>0.26989</f>
        <v>0.26989000000000002</v>
      </c>
    </row>
    <row r="5" spans="3:19" x14ac:dyDescent="0.4">
      <c r="C5" t="s">
        <v>5</v>
      </c>
      <c r="D5" t="s">
        <v>7</v>
      </c>
      <c r="E5">
        <f>0.015527</f>
        <v>1.5526999999999999E-2</v>
      </c>
      <c r="F5" t="s">
        <v>10</v>
      </c>
      <c r="G5" t="s">
        <v>6</v>
      </c>
      <c r="H5">
        <f>0.018824</f>
        <v>1.8824E-2</v>
      </c>
      <c r="I5">
        <f>0.018797</f>
        <v>1.8797000000000001E-2</v>
      </c>
      <c r="J5">
        <f>0.019818</f>
        <v>1.9817999999999999E-2</v>
      </c>
      <c r="K5">
        <f>0.020599</f>
        <v>2.0598999999999999E-2</v>
      </c>
      <c r="L5">
        <f>0.021996</f>
        <v>2.1996000000000002E-2</v>
      </c>
      <c r="M5">
        <f>0.024367</f>
        <v>2.4367E-2</v>
      </c>
      <c r="N5">
        <f>0.035689</f>
        <v>3.5688999999999999E-2</v>
      </c>
    </row>
    <row r="6" spans="3:19" x14ac:dyDescent="0.4">
      <c r="C6" t="s">
        <v>5</v>
      </c>
      <c r="D6" t="s">
        <v>8</v>
      </c>
      <c r="E6">
        <f>0.9733</f>
        <v>0.97330000000000005</v>
      </c>
      <c r="F6" t="s">
        <v>10</v>
      </c>
      <c r="G6">
        <v>1.98E-3</v>
      </c>
    </row>
    <row r="7" spans="3:19" x14ac:dyDescent="0.4">
      <c r="C7" t="s">
        <v>5</v>
      </c>
      <c r="D7" t="s">
        <v>9</v>
      </c>
      <c r="E7">
        <f>0.10214</f>
        <v>0.10213999999999999</v>
      </c>
      <c r="F7" t="s">
        <v>10</v>
      </c>
      <c r="G7" s="1">
        <v>2.8099999999999999E-5</v>
      </c>
      <c r="O7" t="s">
        <v>17</v>
      </c>
    </row>
    <row r="8" spans="3:19" x14ac:dyDescent="0.4">
      <c r="D8" t="s">
        <v>11</v>
      </c>
      <c r="E8" t="s">
        <v>12</v>
      </c>
      <c r="G8" s="1"/>
      <c r="I8" t="s">
        <v>22</v>
      </c>
      <c r="J8" t="s">
        <v>18</v>
      </c>
      <c r="K8" t="s">
        <v>16</v>
      </c>
      <c r="L8" t="s">
        <v>7</v>
      </c>
      <c r="M8" t="s">
        <v>8</v>
      </c>
      <c r="N8" t="s">
        <v>9</v>
      </c>
      <c r="O8" t="s">
        <v>6</v>
      </c>
      <c r="Q8" t="s">
        <v>19</v>
      </c>
      <c r="R8" t="s">
        <v>1</v>
      </c>
      <c r="S8" t="s">
        <v>20</v>
      </c>
    </row>
    <row r="9" spans="3:19" x14ac:dyDescent="0.4">
      <c r="D9" t="s">
        <v>7</v>
      </c>
      <c r="E9">
        <f>0.022117</f>
        <v>2.2117000000000001E-2</v>
      </c>
      <c r="F9" t="s">
        <v>10</v>
      </c>
      <c r="G9">
        <v>1.3500000000000001E-3</v>
      </c>
      <c r="I9">
        <v>33</v>
      </c>
      <c r="J9">
        <f>SQRT((O9*1000)^2-K9^2)</f>
        <v>16.071806867928697</v>
      </c>
      <c r="K9">
        <v>9.8000000000000007</v>
      </c>
      <c r="L9">
        <f>0.015527</f>
        <v>1.5526999999999999E-2</v>
      </c>
      <c r="M9">
        <f>0.9733</f>
        <v>0.97330000000000005</v>
      </c>
      <c r="N9">
        <f>0.10214</f>
        <v>0.10213999999999999</v>
      </c>
      <c r="O9">
        <f>0.018824</f>
        <v>1.8824E-2</v>
      </c>
      <c r="Q9">
        <f>O9*1000/J9</f>
        <v>1.1712435418548557</v>
      </c>
      <c r="R9">
        <v>3.10157E-2</v>
      </c>
      <c r="S9">
        <f>R9/Q9</f>
        <v>2.64809998020408E-2</v>
      </c>
    </row>
    <row r="10" spans="3:19" x14ac:dyDescent="0.4">
      <c r="D10" t="s">
        <v>8</v>
      </c>
      <c r="E10">
        <f>0.96436</f>
        <v>0.96435999999999999</v>
      </c>
      <c r="F10" t="s">
        <v>10</v>
      </c>
      <c r="G10">
        <v>1.9E-3</v>
      </c>
      <c r="I10">
        <v>31.7</v>
      </c>
      <c r="J10">
        <f t="shared" ref="J10:J15" si="0">SQRT((O10*1000)^2-K10^2)</f>
        <v>16.040174843186715</v>
      </c>
      <c r="K10">
        <v>9.8000000000000007</v>
      </c>
      <c r="L10">
        <f>0.022117</f>
        <v>2.2117000000000001E-2</v>
      </c>
      <c r="M10">
        <f>0.96436</f>
        <v>0.96435999999999999</v>
      </c>
      <c r="N10">
        <f>0.11416</f>
        <v>0.11416</v>
      </c>
      <c r="O10">
        <f>0.018797</f>
        <v>1.8797000000000001E-2</v>
      </c>
      <c r="Q10">
        <f t="shared" ref="Q10:Q14" si="1">O10*1000/J10</f>
        <v>1.1718700191091922</v>
      </c>
      <c r="R10">
        <v>3.1191699999999999E-2</v>
      </c>
      <c r="S10">
        <f t="shared" ref="S10:S15" si="2">R10/Q10</f>
        <v>2.6617030465299094E-2</v>
      </c>
    </row>
    <row r="11" spans="3:19" x14ac:dyDescent="0.4">
      <c r="D11" t="s">
        <v>9</v>
      </c>
      <c r="E11">
        <f>0.11416</f>
        <v>0.11416</v>
      </c>
      <c r="F11" t="s">
        <v>10</v>
      </c>
      <c r="G11" s="1">
        <v>2.5199999999999999E-5</v>
      </c>
      <c r="I11">
        <v>30.1</v>
      </c>
      <c r="J11">
        <f t="shared" si="0"/>
        <v>17.225362811853916</v>
      </c>
      <c r="K11">
        <v>9.8000000000000007</v>
      </c>
      <c r="L11">
        <f>0.018014</f>
        <v>1.8013999999999999E-2</v>
      </c>
      <c r="M11">
        <f>0.95835</f>
        <v>0.95835000000000004</v>
      </c>
      <c r="N11">
        <f>0.1281</f>
        <v>0.12809999999999999</v>
      </c>
      <c r="O11">
        <f>0.019818</f>
        <v>1.9817999999999999E-2</v>
      </c>
      <c r="Q11">
        <f t="shared" si="1"/>
        <v>1.1505127767968937</v>
      </c>
      <c r="R11">
        <v>3.2504699999999997E-2</v>
      </c>
      <c r="S11">
        <f t="shared" si="2"/>
        <v>2.8252358996390555E-2</v>
      </c>
    </row>
    <row r="12" spans="3:19" x14ac:dyDescent="0.4">
      <c r="D12" t="s">
        <v>6</v>
      </c>
      <c r="E12">
        <f>0.018797</f>
        <v>1.8797000000000001E-2</v>
      </c>
      <c r="F12" t="s">
        <v>10</v>
      </c>
      <c r="G12" s="1">
        <v>4.8999999999999998E-5</v>
      </c>
      <c r="I12">
        <v>28.7</v>
      </c>
      <c r="J12">
        <f t="shared" si="0"/>
        <v>18.118465746304238</v>
      </c>
      <c r="K12">
        <v>9.8000000000000007</v>
      </c>
      <c r="L12">
        <f>0.029293</f>
        <v>2.9293E-2</v>
      </c>
      <c r="M12">
        <f>0.95565</f>
        <v>0.95565</v>
      </c>
      <c r="N12">
        <f>0.14647</f>
        <v>0.14646999999999999</v>
      </c>
      <c r="O12">
        <f>0.020599</f>
        <v>2.0598999999999999E-2</v>
      </c>
      <c r="Q12">
        <f t="shared" si="1"/>
        <v>1.136906418480921</v>
      </c>
      <c r="R12">
        <v>3.4261600000000003E-2</v>
      </c>
      <c r="S12">
        <f t="shared" si="2"/>
        <v>3.0135813680934868E-2</v>
      </c>
    </row>
    <row r="13" spans="3:19" x14ac:dyDescent="0.4">
      <c r="D13" t="s">
        <v>13</v>
      </c>
      <c r="I13">
        <v>27.6</v>
      </c>
      <c r="J13">
        <f t="shared" si="0"/>
        <v>19.692232377259824</v>
      </c>
      <c r="K13">
        <v>9.8000000000000007</v>
      </c>
      <c r="L13">
        <f>0.037723</f>
        <v>3.7723E-2</v>
      </c>
      <c r="M13">
        <f>0.93484</f>
        <v>0.93484</v>
      </c>
      <c r="N13">
        <f>0.17235</f>
        <v>0.17235</v>
      </c>
      <c r="O13">
        <f>0.021996</f>
        <v>2.1996000000000002E-2</v>
      </c>
      <c r="Q13">
        <f t="shared" si="1"/>
        <v>1.1169886470261503</v>
      </c>
      <c r="R13">
        <v>3.5928000000000002E-2</v>
      </c>
      <c r="S13">
        <f t="shared" si="2"/>
        <v>3.2165053866620788E-2</v>
      </c>
    </row>
    <row r="14" spans="3:19" x14ac:dyDescent="0.4">
      <c r="D14" t="s">
        <v>11</v>
      </c>
      <c r="E14" t="s">
        <v>12</v>
      </c>
      <c r="I14">
        <v>26</v>
      </c>
      <c r="J14">
        <f t="shared" si="0"/>
        <v>22.309430494748181</v>
      </c>
      <c r="K14">
        <v>9.8000000000000007</v>
      </c>
      <c r="L14">
        <f>0.038306</f>
        <v>3.8306E-2</v>
      </c>
      <c r="M14">
        <f>0.9281</f>
        <v>0.92810000000000004</v>
      </c>
      <c r="N14">
        <f>0.20713</f>
        <v>0.20713000000000001</v>
      </c>
      <c r="O14">
        <f>0.024367</f>
        <v>2.4367E-2</v>
      </c>
      <c r="Q14">
        <f t="shared" si="1"/>
        <v>1.0922286880311081</v>
      </c>
      <c r="R14">
        <v>3.8653399999999997E-2</v>
      </c>
      <c r="S14">
        <f t="shared" si="2"/>
        <v>3.5389475137920109E-2</v>
      </c>
    </row>
    <row r="15" spans="3:19" x14ac:dyDescent="0.4">
      <c r="D15" t="s">
        <v>7</v>
      </c>
      <c r="E15">
        <f>0.018014</f>
        <v>1.8013999999999999E-2</v>
      </c>
      <c r="F15" t="s">
        <v>10</v>
      </c>
      <c r="G15">
        <v>1.6199999999999999E-3</v>
      </c>
      <c r="I15">
        <v>24.4</v>
      </c>
      <c r="J15">
        <f t="shared" si="0"/>
        <v>34.317119940344647</v>
      </c>
      <c r="K15">
        <v>9.8000000000000007</v>
      </c>
      <c r="L15">
        <f>0.040509</f>
        <v>4.0509000000000003E-2</v>
      </c>
      <c r="M15">
        <f>0.91473</f>
        <v>0.91473000000000004</v>
      </c>
      <c r="N15">
        <f>0.26989</f>
        <v>0.26989000000000002</v>
      </c>
      <c r="O15">
        <f>0.035689</f>
        <v>3.5688999999999999E-2</v>
      </c>
      <c r="Q15">
        <f>O15*1000/J15</f>
        <v>1.0399765499564115</v>
      </c>
      <c r="R15">
        <v>5.5548699999999999E-2</v>
      </c>
      <c r="S15">
        <f t="shared" si="2"/>
        <v>5.3413415910510874E-2</v>
      </c>
    </row>
    <row r="16" spans="3:19" x14ac:dyDescent="0.4">
      <c r="D16" t="s">
        <v>8</v>
      </c>
      <c r="E16">
        <f>0.95835</f>
        <v>0.95835000000000004</v>
      </c>
      <c r="F16" t="s">
        <v>10</v>
      </c>
      <c r="G16">
        <v>2.5400000000000002E-3</v>
      </c>
    </row>
    <row r="17" spans="3:13" x14ac:dyDescent="0.4">
      <c r="D17" t="s">
        <v>9</v>
      </c>
      <c r="E17">
        <f>0.1281</f>
        <v>0.12809999999999999</v>
      </c>
      <c r="F17" t="s">
        <v>10</v>
      </c>
      <c r="G17" s="1">
        <v>3.7200000000000003E-5</v>
      </c>
    </row>
    <row r="18" spans="3:13" x14ac:dyDescent="0.4">
      <c r="D18" t="s">
        <v>6</v>
      </c>
      <c r="E18">
        <f>0.019818</f>
        <v>1.9817999999999999E-2</v>
      </c>
      <c r="F18" t="s">
        <v>10</v>
      </c>
      <c r="G18" s="1">
        <v>6.8100000000000002E-5</v>
      </c>
      <c r="J18">
        <v>33.006</v>
      </c>
      <c r="M18">
        <f>SQRT(18^2+9.8^2)</f>
        <v>20.494877408757535</v>
      </c>
    </row>
    <row r="19" spans="3:13" x14ac:dyDescent="0.4">
      <c r="D19" t="s">
        <v>11</v>
      </c>
      <c r="E19" t="s">
        <v>12</v>
      </c>
      <c r="J19">
        <v>31.7</v>
      </c>
    </row>
    <row r="20" spans="3:13" x14ac:dyDescent="0.4">
      <c r="D20" t="s">
        <v>7</v>
      </c>
      <c r="E20">
        <f>0.029293</f>
        <v>2.9293E-2</v>
      </c>
      <c r="F20" t="s">
        <v>10</v>
      </c>
      <c r="G20">
        <v>2.2599999999999999E-3</v>
      </c>
      <c r="J20">
        <v>30.084</v>
      </c>
    </row>
    <row r="21" spans="3:13" x14ac:dyDescent="0.4">
      <c r="D21" t="s">
        <v>8</v>
      </c>
      <c r="E21">
        <f>0.95565</f>
        <v>0.95565</v>
      </c>
      <c r="F21" t="s">
        <v>10</v>
      </c>
      <c r="G21">
        <v>2.81E-3</v>
      </c>
      <c r="J21">
        <v>28.664999999999999</v>
      </c>
    </row>
    <row r="22" spans="3:13" x14ac:dyDescent="0.4">
      <c r="D22" t="s">
        <v>9</v>
      </c>
      <c r="E22">
        <f>0.14647</f>
        <v>0.14646999999999999</v>
      </c>
      <c r="F22" t="s">
        <v>10</v>
      </c>
      <c r="G22" s="1">
        <v>3.8300000000000003E-5</v>
      </c>
      <c r="J22">
        <v>27.588000000000001</v>
      </c>
    </row>
    <row r="23" spans="3:13" x14ac:dyDescent="0.4">
      <c r="D23" t="s">
        <v>6</v>
      </c>
      <c r="E23">
        <f>0.020599</f>
        <v>2.0598999999999999E-2</v>
      </c>
      <c r="F23" t="s">
        <v>10</v>
      </c>
      <c r="G23" s="1">
        <v>8.1299999999999997E-5</v>
      </c>
      <c r="J23">
        <v>26.048999999999999</v>
      </c>
    </row>
    <row r="24" spans="3:13" x14ac:dyDescent="0.4">
      <c r="D24" t="s">
        <v>11</v>
      </c>
      <c r="E24" t="s">
        <v>12</v>
      </c>
      <c r="J24">
        <v>24.36</v>
      </c>
    </row>
    <row r="25" spans="3:13" x14ac:dyDescent="0.4">
      <c r="D25" t="s">
        <v>7</v>
      </c>
      <c r="E25">
        <f>0.037723</f>
        <v>3.7723E-2</v>
      </c>
      <c r="F25" t="s">
        <v>10</v>
      </c>
      <c r="G25">
        <v>2.8500000000000001E-3</v>
      </c>
      <c r="J25">
        <v>23.053999999999998</v>
      </c>
    </row>
    <row r="26" spans="3:13" x14ac:dyDescent="0.4">
      <c r="D26" t="s">
        <v>8</v>
      </c>
      <c r="E26">
        <f>0.93484</f>
        <v>0.93484</v>
      </c>
      <c r="F26" t="s">
        <v>10</v>
      </c>
      <c r="G26">
        <v>3.9100000000000003E-3</v>
      </c>
    </row>
    <row r="27" spans="3:13" x14ac:dyDescent="0.4">
      <c r="D27" t="s">
        <v>9</v>
      </c>
      <c r="E27">
        <f>0.17235</f>
        <v>0.17235</v>
      </c>
      <c r="F27" t="s">
        <v>10</v>
      </c>
      <c r="G27" s="1">
        <v>6.2299999999999996E-5</v>
      </c>
    </row>
    <row r="28" spans="3:13" x14ac:dyDescent="0.4">
      <c r="D28" t="s">
        <v>6</v>
      </c>
      <c r="E28">
        <f>0.021996</f>
        <v>2.1996000000000002E-2</v>
      </c>
      <c r="F28" t="s">
        <v>10</v>
      </c>
      <c r="G28">
        <v>1.2300000000000001E-4</v>
      </c>
    </row>
    <row r="29" spans="3:13" x14ac:dyDescent="0.4">
      <c r="C29" t="s">
        <v>14</v>
      </c>
      <c r="D29" t="s">
        <v>15</v>
      </c>
    </row>
    <row r="30" spans="3:13" x14ac:dyDescent="0.4">
      <c r="D30" t="s">
        <v>11</v>
      </c>
      <c r="E30" t="s">
        <v>12</v>
      </c>
    </row>
    <row r="31" spans="3:13" x14ac:dyDescent="0.4">
      <c r="D31" t="s">
        <v>7</v>
      </c>
      <c r="E31">
        <f>0.038306</f>
        <v>3.8306E-2</v>
      </c>
      <c r="F31" t="s">
        <v>10</v>
      </c>
      <c r="G31">
        <v>2.8800000000000002E-3</v>
      </c>
    </row>
    <row r="32" spans="3:13" x14ac:dyDescent="0.4">
      <c r="D32" t="s">
        <v>8</v>
      </c>
      <c r="E32">
        <f>0.9281</f>
        <v>0.92810000000000004</v>
      </c>
      <c r="F32" t="s">
        <v>10</v>
      </c>
      <c r="G32">
        <v>5.3899999999999998E-3</v>
      </c>
    </row>
    <row r="33" spans="4:7" x14ac:dyDescent="0.4">
      <c r="D33" t="s">
        <v>9</v>
      </c>
      <c r="E33">
        <f>0.20713</f>
        <v>0.20713000000000001</v>
      </c>
      <c r="F33" t="s">
        <v>10</v>
      </c>
      <c r="G33">
        <v>1.06E-4</v>
      </c>
    </row>
    <row r="34" spans="4:7" x14ac:dyDescent="0.4">
      <c r="D34" t="s">
        <v>6</v>
      </c>
      <c r="E34">
        <f>0.024367</f>
        <v>2.4367E-2</v>
      </c>
      <c r="F34" t="s">
        <v>10</v>
      </c>
      <c r="G34">
        <v>1.83E-4</v>
      </c>
    </row>
    <row r="35" spans="4:7" x14ac:dyDescent="0.4">
      <c r="D35" t="s">
        <v>11</v>
      </c>
      <c r="E35" t="s">
        <v>12</v>
      </c>
    </row>
    <row r="36" spans="4:7" x14ac:dyDescent="0.4">
      <c r="D36" t="s">
        <v>7</v>
      </c>
      <c r="E36">
        <f>0.040509</f>
        <v>4.0509000000000003E-2</v>
      </c>
      <c r="F36" t="s">
        <v>10</v>
      </c>
      <c r="G36">
        <v>2.65E-3</v>
      </c>
    </row>
    <row r="37" spans="4:7" x14ac:dyDescent="0.4">
      <c r="D37" t="s">
        <v>8</v>
      </c>
      <c r="E37">
        <f>0.91473</f>
        <v>0.91473000000000004</v>
      </c>
      <c r="F37" t="s">
        <v>10</v>
      </c>
      <c r="G37">
        <v>4.3800000000000002E-3</v>
      </c>
    </row>
    <row r="38" spans="4:7" x14ac:dyDescent="0.4">
      <c r="D38" t="s">
        <v>9</v>
      </c>
      <c r="E38">
        <f>0.26989</f>
        <v>0.26989000000000002</v>
      </c>
      <c r="F38" t="s">
        <v>10</v>
      </c>
      <c r="G38">
        <v>1.25E-4</v>
      </c>
    </row>
    <row r="39" spans="4:7" x14ac:dyDescent="0.4">
      <c r="D39" t="s">
        <v>6</v>
      </c>
      <c r="E39">
        <f>0.035689</f>
        <v>3.5688999999999999E-2</v>
      </c>
      <c r="F39" t="s">
        <v>10</v>
      </c>
      <c r="G39">
        <v>2.2499999999999999E-4</v>
      </c>
    </row>
  </sheetData>
  <sortState xmlns:xlrd2="http://schemas.microsoft.com/office/spreadsheetml/2017/richdata2" ref="R9:R15">
    <sortCondition ref="R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21A6-8E41-488F-9EC0-75748824744A}">
  <dimension ref="C1:S32"/>
  <sheetViews>
    <sheetView workbookViewId="0">
      <selection activeCell="S10" sqref="S10:S15"/>
    </sheetView>
  </sheetViews>
  <sheetFormatPr defaultRowHeight="18.75" x14ac:dyDescent="0.4"/>
  <sheetData>
    <row r="1" spans="3:19" x14ac:dyDescent="0.4">
      <c r="I1">
        <v>32.6</v>
      </c>
      <c r="J1">
        <v>31.3</v>
      </c>
      <c r="K1">
        <v>30</v>
      </c>
      <c r="L1">
        <v>28.6</v>
      </c>
      <c r="M1">
        <v>27.2</v>
      </c>
      <c r="N1">
        <v>25.7</v>
      </c>
    </row>
    <row r="2" spans="3:19" x14ac:dyDescent="0.4">
      <c r="H2" t="s">
        <v>7</v>
      </c>
      <c r="I2">
        <f>0.026348</f>
        <v>2.6348E-2</v>
      </c>
      <c r="J2">
        <f>0.013869</f>
        <v>1.3868999999999999E-2</v>
      </c>
      <c r="K2">
        <f>0.012706</f>
        <v>1.2706E-2</v>
      </c>
      <c r="L2">
        <f>0.025702</f>
        <v>2.5701999999999999E-2</v>
      </c>
      <c r="M2">
        <f>0.027231</f>
        <v>2.7231000000000002E-2</v>
      </c>
      <c r="N2">
        <f>0.057925</f>
        <v>5.7924999999999997E-2</v>
      </c>
    </row>
    <row r="3" spans="3:19" x14ac:dyDescent="0.4">
      <c r="C3" t="s">
        <v>11</v>
      </c>
      <c r="D3" t="s">
        <v>12</v>
      </c>
      <c r="H3" t="s">
        <v>8</v>
      </c>
      <c r="I3">
        <f>0.96348</f>
        <v>0.96348</v>
      </c>
      <c r="J3">
        <f>0.95365</f>
        <v>0.95365</v>
      </c>
      <c r="K3">
        <f>0.96967</f>
        <v>0.96967000000000003</v>
      </c>
      <c r="L3">
        <f>0.94124</f>
        <v>0.94123999999999997</v>
      </c>
      <c r="M3">
        <f>0.92762</f>
        <v>0.92762</v>
      </c>
      <c r="N3">
        <f>0.60177</f>
        <v>0.60177000000000003</v>
      </c>
    </row>
    <row r="4" spans="3:19" x14ac:dyDescent="0.4">
      <c r="C4" t="s">
        <v>7</v>
      </c>
      <c r="D4">
        <f>0.026348</f>
        <v>2.6348E-2</v>
      </c>
      <c r="E4" t="s">
        <v>10</v>
      </c>
      <c r="F4">
        <v>2.0200000000000001E-3</v>
      </c>
      <c r="H4" t="s">
        <v>9</v>
      </c>
      <c r="I4">
        <f>0.16284</f>
        <v>0.16284000000000001</v>
      </c>
      <c r="J4">
        <f>0.17963</f>
        <v>0.17963000000000001</v>
      </c>
      <c r="K4">
        <f>0.20144</f>
        <v>0.20144000000000001</v>
      </c>
      <c r="L4">
        <f>0.23117</f>
        <v>0.23116999999999999</v>
      </c>
      <c r="M4">
        <f>0.27823</f>
        <v>0.27822999999999998</v>
      </c>
      <c r="N4">
        <f>0.40609</f>
        <v>0.40609000000000001</v>
      </c>
    </row>
    <row r="5" spans="3:19" x14ac:dyDescent="0.4">
      <c r="C5" t="s">
        <v>8</v>
      </c>
      <c r="D5">
        <f>0.96348</f>
        <v>0.96348</v>
      </c>
      <c r="E5" t="s">
        <v>10</v>
      </c>
      <c r="F5">
        <v>2.66E-3</v>
      </c>
      <c r="H5" t="s">
        <v>6</v>
      </c>
      <c r="I5">
        <f>0.019097</f>
        <v>1.9096999999999999E-2</v>
      </c>
      <c r="J5">
        <f>0.019822</f>
        <v>1.9821999999999999E-2</v>
      </c>
      <c r="K5">
        <f>0.021225</f>
        <v>2.1225000000000001E-2</v>
      </c>
      <c r="L5">
        <f>0.023072</f>
        <v>2.3071999999999999E-2</v>
      </c>
      <c r="M5">
        <f>0.029944</f>
        <v>2.9943999999999998E-2</v>
      </c>
      <c r="N5">
        <f>0.105</f>
        <v>0.105</v>
      </c>
    </row>
    <row r="6" spans="3:19" x14ac:dyDescent="0.4">
      <c r="C6" t="s">
        <v>9</v>
      </c>
      <c r="D6">
        <f>0.16284</f>
        <v>0.16284000000000001</v>
      </c>
      <c r="E6" t="s">
        <v>10</v>
      </c>
      <c r="F6" s="1">
        <v>3.4700000000000003E-5</v>
      </c>
    </row>
    <row r="7" spans="3:19" x14ac:dyDescent="0.4">
      <c r="C7" t="s">
        <v>6</v>
      </c>
      <c r="D7">
        <f>0.019097</f>
        <v>1.9096999999999999E-2</v>
      </c>
      <c r="E7" t="s">
        <v>10</v>
      </c>
      <c r="F7" s="1">
        <v>7.0400000000000004E-5</v>
      </c>
    </row>
    <row r="8" spans="3:19" x14ac:dyDescent="0.4">
      <c r="D8" t="s">
        <v>11</v>
      </c>
      <c r="E8" t="s">
        <v>12</v>
      </c>
    </row>
    <row r="9" spans="3:19" x14ac:dyDescent="0.4">
      <c r="D9" t="s">
        <v>7</v>
      </c>
      <c r="E9">
        <f>0.013869</f>
        <v>1.3868999999999999E-2</v>
      </c>
      <c r="F9" t="s">
        <v>10</v>
      </c>
      <c r="G9">
        <v>1.5200000000000001E-3</v>
      </c>
      <c r="J9" t="s">
        <v>18</v>
      </c>
      <c r="K9" t="s">
        <v>16</v>
      </c>
      <c r="L9" t="s">
        <v>7</v>
      </c>
      <c r="M9" t="s">
        <v>8</v>
      </c>
      <c r="N9" t="s">
        <v>9</v>
      </c>
      <c r="O9" t="s">
        <v>6</v>
      </c>
      <c r="Q9" t="s">
        <v>19</v>
      </c>
      <c r="R9" t="s">
        <v>1</v>
      </c>
      <c r="S9" t="s">
        <v>20</v>
      </c>
    </row>
    <row r="10" spans="3:19" x14ac:dyDescent="0.4">
      <c r="D10" t="s">
        <v>8</v>
      </c>
      <c r="E10">
        <f>0.95365</f>
        <v>0.95365</v>
      </c>
      <c r="F10" t="s">
        <v>10</v>
      </c>
      <c r="G10">
        <v>2.98E-3</v>
      </c>
      <c r="I10">
        <v>32.6</v>
      </c>
      <c r="J10">
        <f>SQRT((O10*1000)^2-K10^2)</f>
        <v>16.390711058401337</v>
      </c>
      <c r="K10">
        <v>9.8000000000000007</v>
      </c>
      <c r="L10">
        <f>0.026348</f>
        <v>2.6348E-2</v>
      </c>
      <c r="M10">
        <f>0.96348</f>
        <v>0.96348</v>
      </c>
      <c r="N10">
        <f>0.16284</f>
        <v>0.16284000000000001</v>
      </c>
      <c r="O10">
        <f>0.019097</f>
        <v>1.9096999999999999E-2</v>
      </c>
      <c r="Q10">
        <f>O10*1000/J10</f>
        <v>1.1651111371529856</v>
      </c>
      <c r="R10">
        <v>3.17215E-2</v>
      </c>
      <c r="S10">
        <f>R10/Q10</f>
        <v>2.7226158079231191E-2</v>
      </c>
    </row>
    <row r="11" spans="3:19" x14ac:dyDescent="0.4">
      <c r="D11" t="s">
        <v>9</v>
      </c>
      <c r="E11">
        <f>0.17963</f>
        <v>0.17963000000000001</v>
      </c>
      <c r="F11" t="s">
        <v>10</v>
      </c>
      <c r="G11" s="1">
        <v>4.6600000000000001E-5</v>
      </c>
      <c r="I11">
        <v>31.3</v>
      </c>
      <c r="J11">
        <f t="shared" ref="J11:J15" si="0">SQRT((O11*1000)^2-K11^2)</f>
        <v>17.229964712674253</v>
      </c>
      <c r="K11">
        <v>9.8000000000000007</v>
      </c>
      <c r="L11">
        <f>0.013869</f>
        <v>1.3868999999999999E-2</v>
      </c>
      <c r="M11">
        <f>0.95365</f>
        <v>0.95365</v>
      </c>
      <c r="N11">
        <f>0.17963</f>
        <v>0.17963000000000001</v>
      </c>
      <c r="O11">
        <f>0.019822</f>
        <v>1.9821999999999999E-2</v>
      </c>
      <c r="Q11">
        <f t="shared" ref="Q11:Q15" si="1">O11*1000/J11</f>
        <v>1.1504376434049839</v>
      </c>
      <c r="R11">
        <v>3.2341399999999999E-2</v>
      </c>
      <c r="S11">
        <f t="shared" ref="S11:S14" si="2">R11/Q11</f>
        <v>2.8112258135328579E-2</v>
      </c>
    </row>
    <row r="12" spans="3:19" x14ac:dyDescent="0.4">
      <c r="D12" t="s">
        <v>6</v>
      </c>
      <c r="E12">
        <f>0.019822</f>
        <v>1.9821999999999999E-2</v>
      </c>
      <c r="F12" t="s">
        <v>10</v>
      </c>
      <c r="G12" s="1">
        <v>7.9599999999999997E-5</v>
      </c>
      <c r="I12">
        <v>30</v>
      </c>
      <c r="J12">
        <f t="shared" si="0"/>
        <v>18.827124714092697</v>
      </c>
      <c r="K12">
        <v>9.8000000000000007</v>
      </c>
      <c r="L12">
        <f>0.012706</f>
        <v>1.2706E-2</v>
      </c>
      <c r="M12">
        <f>0.96967</f>
        <v>0.96967000000000003</v>
      </c>
      <c r="N12">
        <f>0.20144</f>
        <v>0.20144000000000001</v>
      </c>
      <c r="O12">
        <f>0.021225</f>
        <v>2.1225000000000001E-2</v>
      </c>
      <c r="Q12">
        <f t="shared" si="1"/>
        <v>1.1273627982138144</v>
      </c>
      <c r="R12">
        <v>3.4502999999999999E-2</v>
      </c>
      <c r="S12">
        <f t="shared" si="2"/>
        <v>3.0605054605905312E-2</v>
      </c>
    </row>
    <row r="13" spans="3:19" x14ac:dyDescent="0.4">
      <c r="C13" t="s">
        <v>11</v>
      </c>
      <c r="D13" t="s">
        <v>12</v>
      </c>
      <c r="I13">
        <v>28.6</v>
      </c>
      <c r="J13">
        <f t="shared" si="0"/>
        <v>20.887249316269482</v>
      </c>
      <c r="K13">
        <v>9.8000000000000007</v>
      </c>
      <c r="L13">
        <f>0.025702</f>
        <v>2.5701999999999999E-2</v>
      </c>
      <c r="M13">
        <f>0.94124</f>
        <v>0.94123999999999997</v>
      </c>
      <c r="N13">
        <f>0.23117</f>
        <v>0.23116999999999999</v>
      </c>
      <c r="O13">
        <f>0.023072</f>
        <v>2.3071999999999999E-2</v>
      </c>
      <c r="Q13">
        <f t="shared" si="1"/>
        <v>1.1045973383402272</v>
      </c>
      <c r="R13">
        <v>3.72527E-2</v>
      </c>
      <c r="S13">
        <f t="shared" si="2"/>
        <v>3.3725140109405E-2</v>
      </c>
    </row>
    <row r="14" spans="3:19" x14ac:dyDescent="0.4">
      <c r="D14" t="s">
        <v>7</v>
      </c>
      <c r="E14">
        <f>0.012706</f>
        <v>1.2706E-2</v>
      </c>
      <c r="F14" t="s">
        <v>10</v>
      </c>
      <c r="G14">
        <v>1.5200000000000001E-3</v>
      </c>
      <c r="I14">
        <v>27.2</v>
      </c>
      <c r="J14">
        <f t="shared" si="0"/>
        <v>28.294931277527429</v>
      </c>
      <c r="K14">
        <v>9.8000000000000007</v>
      </c>
      <c r="L14">
        <f>0.027231</f>
        <v>2.7231000000000002E-2</v>
      </c>
      <c r="M14">
        <f>0.92762</f>
        <v>0.92762</v>
      </c>
      <c r="N14">
        <f>0.27823</f>
        <v>0.27822999999999998</v>
      </c>
      <c r="O14">
        <f>0.029944</f>
        <v>2.9943999999999998E-2</v>
      </c>
      <c r="Q14">
        <f t="shared" si="1"/>
        <v>1.0582814181910492</v>
      </c>
      <c r="R14">
        <v>4.6117100000000001E-2</v>
      </c>
      <c r="S14">
        <f t="shared" si="2"/>
        <v>4.357735022772042E-2</v>
      </c>
    </row>
    <row r="15" spans="3:19" x14ac:dyDescent="0.4">
      <c r="D15" t="s">
        <v>8</v>
      </c>
      <c r="E15">
        <f>0.96967</f>
        <v>0.96967000000000003</v>
      </c>
      <c r="F15" t="s">
        <v>10</v>
      </c>
      <c r="G15">
        <v>3.1900000000000001E-3</v>
      </c>
      <c r="I15">
        <v>25.7</v>
      </c>
      <c r="J15">
        <f t="shared" si="0"/>
        <v>104.54166633452903</v>
      </c>
      <c r="K15">
        <v>9.8000000000000007</v>
      </c>
      <c r="L15">
        <f>0.057925</f>
        <v>5.7924999999999997E-2</v>
      </c>
      <c r="M15">
        <f>0.60177</f>
        <v>0.60177000000000003</v>
      </c>
      <c r="N15">
        <f>0.40609</f>
        <v>0.40609000000000001</v>
      </c>
      <c r="O15">
        <f>0.105</f>
        <v>0.105</v>
      </c>
      <c r="Q15">
        <f t="shared" si="1"/>
        <v>1.0043842200104629</v>
      </c>
      <c r="R15" t="s">
        <v>21</v>
      </c>
      <c r="S15" t="s">
        <v>21</v>
      </c>
    </row>
    <row r="16" spans="3:19" x14ac:dyDescent="0.4">
      <c r="D16" t="s">
        <v>9</v>
      </c>
      <c r="E16">
        <f>0.20144</f>
        <v>0.20144000000000001</v>
      </c>
      <c r="F16" t="s">
        <v>10</v>
      </c>
      <c r="G16" s="1">
        <v>5.3499999999999999E-5</v>
      </c>
    </row>
    <row r="17" spans="4:10" x14ac:dyDescent="0.4">
      <c r="D17" t="s">
        <v>6</v>
      </c>
      <c r="E17">
        <f>0.021225</f>
        <v>2.1225000000000001E-2</v>
      </c>
      <c r="F17" t="s">
        <v>10</v>
      </c>
      <c r="G17" s="1">
        <v>8.9900000000000003E-5</v>
      </c>
    </row>
    <row r="18" spans="4:10" x14ac:dyDescent="0.4">
      <c r="D18" t="s">
        <v>11</v>
      </c>
      <c r="E18" t="s">
        <v>12</v>
      </c>
      <c r="I18">
        <v>3.17215E-2</v>
      </c>
      <c r="J18">
        <v>32.6</v>
      </c>
    </row>
    <row r="19" spans="4:10" x14ac:dyDescent="0.4">
      <c r="D19" t="s">
        <v>7</v>
      </c>
      <c r="E19">
        <f>0.025702</f>
        <v>2.5701999999999999E-2</v>
      </c>
      <c r="F19" t="s">
        <v>10</v>
      </c>
      <c r="G19">
        <v>2.33E-3</v>
      </c>
      <c r="I19">
        <v>3.2341399999999999E-2</v>
      </c>
      <c r="J19">
        <v>31.3</v>
      </c>
    </row>
    <row r="20" spans="4:10" x14ac:dyDescent="0.4">
      <c r="D20" t="s">
        <v>8</v>
      </c>
      <c r="E20">
        <f>0.94124</f>
        <v>0.94123999999999997</v>
      </c>
      <c r="F20" t="s">
        <v>10</v>
      </c>
      <c r="G20">
        <v>3.79E-3</v>
      </c>
      <c r="I20">
        <v>3.4502999999999999E-2</v>
      </c>
      <c r="J20">
        <v>30</v>
      </c>
    </row>
    <row r="21" spans="4:10" x14ac:dyDescent="0.4">
      <c r="D21" t="s">
        <v>9</v>
      </c>
      <c r="E21">
        <f>0.23117</f>
        <v>0.23116999999999999</v>
      </c>
      <c r="F21" t="s">
        <v>10</v>
      </c>
      <c r="G21" s="1">
        <v>6.7100000000000005E-5</v>
      </c>
      <c r="I21">
        <v>3.72527E-2</v>
      </c>
      <c r="J21">
        <v>28.6</v>
      </c>
    </row>
    <row r="22" spans="4:10" x14ac:dyDescent="0.4">
      <c r="D22" t="s">
        <v>6</v>
      </c>
      <c r="E22">
        <f>0.023072</f>
        <v>2.3071999999999999E-2</v>
      </c>
      <c r="F22" t="s">
        <v>10</v>
      </c>
      <c r="G22">
        <v>1.22E-4</v>
      </c>
      <c r="I22">
        <v>4.6117100000000001E-2</v>
      </c>
      <c r="J22">
        <v>27.2</v>
      </c>
    </row>
    <row r="23" spans="4:10" x14ac:dyDescent="0.4">
      <c r="D23" t="s">
        <v>11</v>
      </c>
      <c r="E23" t="s">
        <v>12</v>
      </c>
      <c r="J23">
        <v>25.7</v>
      </c>
    </row>
    <row r="24" spans="4:10" x14ac:dyDescent="0.4">
      <c r="D24" t="s">
        <v>7</v>
      </c>
      <c r="E24">
        <f>0.027231</f>
        <v>2.7231000000000002E-2</v>
      </c>
      <c r="F24" t="s">
        <v>10</v>
      </c>
      <c r="G24">
        <v>3.4399999999999999E-3</v>
      </c>
    </row>
    <row r="25" spans="4:10" x14ac:dyDescent="0.4">
      <c r="D25" t="s">
        <v>8</v>
      </c>
      <c r="E25">
        <f>0.92762</f>
        <v>0.92762</v>
      </c>
      <c r="F25" t="s">
        <v>10</v>
      </c>
      <c r="G25">
        <v>6.96E-3</v>
      </c>
    </row>
    <row r="26" spans="4:10" x14ac:dyDescent="0.4">
      <c r="D26" t="s">
        <v>9</v>
      </c>
      <c r="E26">
        <f>0.27823</f>
        <v>0.27822999999999998</v>
      </c>
      <c r="F26" t="s">
        <v>10</v>
      </c>
      <c r="G26">
        <v>1.7100000000000001E-4</v>
      </c>
    </row>
    <row r="27" spans="4:10" x14ac:dyDescent="0.4">
      <c r="D27" t="s">
        <v>6</v>
      </c>
      <c r="E27">
        <f>0.029944</f>
        <v>2.9943999999999998E-2</v>
      </c>
      <c r="F27" t="s">
        <v>10</v>
      </c>
      <c r="G27">
        <v>2.8600000000000001E-4</v>
      </c>
    </row>
    <row r="28" spans="4:10" x14ac:dyDescent="0.4">
      <c r="D28" t="s">
        <v>11</v>
      </c>
      <c r="E28" t="s">
        <v>12</v>
      </c>
    </row>
    <row r="29" spans="4:10" x14ac:dyDescent="0.4">
      <c r="D29" t="s">
        <v>7</v>
      </c>
      <c r="E29">
        <f>0.057925</f>
        <v>5.7924999999999997E-2</v>
      </c>
      <c r="F29" t="s">
        <v>10</v>
      </c>
      <c r="G29">
        <v>8.8699999999999994E-3</v>
      </c>
    </row>
    <row r="30" spans="4:10" x14ac:dyDescent="0.4">
      <c r="D30" t="s">
        <v>8</v>
      </c>
      <c r="E30">
        <f>0.60177</f>
        <v>0.60177000000000003</v>
      </c>
      <c r="F30" t="s">
        <v>10</v>
      </c>
      <c r="G30">
        <v>1.3100000000000001E-2</v>
      </c>
    </row>
    <row r="31" spans="4:10" x14ac:dyDescent="0.4">
      <c r="D31" t="s">
        <v>9</v>
      </c>
      <c r="E31">
        <f>0.40609</f>
        <v>0.40609000000000001</v>
      </c>
      <c r="F31" t="s">
        <v>10</v>
      </c>
      <c r="G31">
        <v>1.6299999999999999E-3</v>
      </c>
    </row>
    <row r="32" spans="4:10" x14ac:dyDescent="0.4">
      <c r="D32" t="s">
        <v>6</v>
      </c>
      <c r="E32">
        <f>0.105</f>
        <v>0.105</v>
      </c>
      <c r="F32" t="s">
        <v>10</v>
      </c>
      <c r="G32">
        <v>3.16E-3</v>
      </c>
    </row>
  </sheetData>
  <sortState xmlns:xlrd2="http://schemas.microsoft.com/office/spreadsheetml/2017/richdata2" ref="I18:J23">
    <sortCondition descending="1" ref="J18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L400</vt:lpstr>
      <vt:lpstr>L500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2018-12-18T14:53:22Z</dcterms:created>
  <dcterms:modified xsi:type="dcterms:W3CDTF">2019-01-03T19:40:56Z</dcterms:modified>
</cp:coreProperties>
</file>