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cullen/Downloads/"/>
    </mc:Choice>
  </mc:AlternateContent>
  <xr:revisionPtr revIDLastSave="0" documentId="13_ncr:1_{DDB293CE-EFD3-DC4B-938C-A6D2485C82E2}" xr6:coauthVersionLast="43" xr6:coauthVersionMax="43" xr10:uidLastSave="{00000000-0000-0000-0000-000000000000}"/>
  <bookViews>
    <workbookView xWindow="0" yWindow="460" windowWidth="33600" windowHeight="20540" activeTab="2" xr2:uid="{00000000-000D-0000-FFFF-FFFF00000000}"/>
  </bookViews>
  <sheets>
    <sheet name="Static Data" sheetId="1" r:id="rId1"/>
    <sheet name="Computation" sheetId="2" r:id="rId2"/>
    <sheet name="Output" sheetId="3" r:id="rId3"/>
    <sheet name="VERSION" sheetId="4" r:id="rId4"/>
    <sheet name="Zip Data 98103" sheetId="5" r:id="rId5"/>
    <sheet name="Zip Data 9810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2" i="3" l="1"/>
  <c r="C92" i="3"/>
  <c r="B92" i="3"/>
  <c r="D82" i="3"/>
  <c r="C82" i="3"/>
  <c r="B82" i="3"/>
  <c r="D72" i="3"/>
  <c r="C72" i="3"/>
  <c r="B72" i="3"/>
  <c r="D62" i="3"/>
  <c r="C62" i="3"/>
  <c r="B62" i="3"/>
  <c r="D52" i="3"/>
  <c r="C52" i="3"/>
  <c r="B52" i="3"/>
  <c r="D42" i="3"/>
  <c r="C42" i="3"/>
  <c r="B42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D24" i="3"/>
  <c r="B18" i="3"/>
  <c r="B17" i="3"/>
  <c r="B19" i="3" s="1"/>
  <c r="D25" i="3" s="1"/>
  <c r="B7" i="3"/>
  <c r="B5" i="3"/>
  <c r="B29" i="2"/>
  <c r="B26" i="2"/>
  <c r="B25" i="2"/>
  <c r="D22" i="2"/>
  <c r="C22" i="2"/>
  <c r="B22" i="2"/>
  <c r="D21" i="2"/>
  <c r="B21" i="2" s="1"/>
  <c r="C21" i="2"/>
  <c r="D20" i="2"/>
  <c r="C20" i="2"/>
  <c r="B20" i="2" s="1"/>
  <c r="D8" i="2"/>
  <c r="E8" i="2" s="1"/>
  <c r="B8" i="2"/>
  <c r="C8" i="2" s="1"/>
  <c r="B7" i="2"/>
  <c r="C7" i="2" s="1"/>
  <c r="D7" i="2" s="1"/>
  <c r="E7" i="2" s="1"/>
  <c r="B6" i="2"/>
  <c r="C6" i="2" s="1"/>
  <c r="D6" i="2" s="1"/>
  <c r="E6" i="2" s="1"/>
  <c r="C5" i="2"/>
  <c r="D5" i="2" s="1"/>
  <c r="E5" i="2" s="1"/>
  <c r="B5" i="2"/>
  <c r="D4" i="2"/>
  <c r="E4" i="2" s="1"/>
  <c r="B4" i="2"/>
  <c r="C4" i="2" s="1"/>
  <c r="B3" i="2"/>
  <c r="C3" i="2" s="1"/>
  <c r="D3" i="2" s="1"/>
  <c r="E3" i="2" s="1"/>
  <c r="E83" i="3" l="1"/>
  <c r="B16" i="2"/>
  <c r="F7" i="2"/>
  <c r="G7" i="2" s="1"/>
  <c r="H7" i="2" s="1"/>
  <c r="I7" i="2" s="1"/>
  <c r="E63" i="3"/>
  <c r="B14" i="2"/>
  <c r="F5" i="2"/>
  <c r="G5" i="2" s="1"/>
  <c r="H5" i="2" s="1"/>
  <c r="I5" i="2" s="1"/>
  <c r="E93" i="3"/>
  <c r="B17" i="2"/>
  <c r="F8" i="2"/>
  <c r="G8" i="2" s="1"/>
  <c r="H8" i="2" s="1"/>
  <c r="I8" i="2" s="1"/>
  <c r="E53" i="3"/>
  <c r="B13" i="2"/>
  <c r="F4" i="2"/>
  <c r="G4" i="2" s="1"/>
  <c r="H4" i="2" s="1"/>
  <c r="I4" i="2" s="1"/>
  <c r="E43" i="3"/>
  <c r="B12" i="2"/>
  <c r="F3" i="2"/>
  <c r="G3" i="2" s="1"/>
  <c r="H3" i="2" s="1"/>
  <c r="I3" i="2" s="1"/>
  <c r="E73" i="3"/>
  <c r="B15" i="2"/>
  <c r="F6" i="2"/>
  <c r="G6" i="2" s="1"/>
  <c r="H6" i="2" s="1"/>
  <c r="I6" i="2" s="1"/>
  <c r="D22" i="3"/>
  <c r="C21" i="3"/>
  <c r="B22" i="3" s="1"/>
  <c r="C22" i="3" s="1"/>
  <c r="B23" i="3" s="1"/>
  <c r="C23" i="3" s="1"/>
  <c r="B24" i="3" s="1"/>
  <c r="C24" i="3" s="1"/>
  <c r="B25" i="3" s="1"/>
  <c r="C25" i="3" s="1"/>
  <c r="D23" i="3"/>
  <c r="B27" i="2"/>
  <c r="D21" i="3"/>
  <c r="J4" i="2" l="1"/>
  <c r="C13" i="2"/>
  <c r="D13" i="2" s="1"/>
  <c r="E13" i="2" s="1"/>
  <c r="D104" i="3" s="1"/>
  <c r="C12" i="2"/>
  <c r="D12" i="2" s="1"/>
  <c r="E12" i="2" s="1"/>
  <c r="D103" i="3" s="1"/>
  <c r="J3" i="2"/>
  <c r="C93" i="3"/>
  <c r="D93" i="3"/>
  <c r="B93" i="3"/>
  <c r="C16" i="2"/>
  <c r="D16" i="2" s="1"/>
  <c r="E16" i="2" s="1"/>
  <c r="D107" i="3" s="1"/>
  <c r="J7" i="2"/>
  <c r="C15" i="2"/>
  <c r="D15" i="2" s="1"/>
  <c r="E15" i="2" s="1"/>
  <c r="D106" i="3" s="1"/>
  <c r="J6" i="2"/>
  <c r="D53" i="3"/>
  <c r="J5" i="2"/>
  <c r="C14" i="2"/>
  <c r="D14" i="2" s="1"/>
  <c r="E14" i="2" s="1"/>
  <c r="D105" i="3" s="1"/>
  <c r="D73" i="3"/>
  <c r="C73" i="3" s="1"/>
  <c r="C63" i="3"/>
  <c r="D63" i="3"/>
  <c r="D43" i="3"/>
  <c r="J8" i="2"/>
  <c r="C17" i="2"/>
  <c r="D17" i="2" s="1"/>
  <c r="E17" i="2" s="1"/>
  <c r="D108" i="3" s="1"/>
  <c r="C83" i="3"/>
  <c r="D83" i="3"/>
  <c r="C74" i="3" l="1"/>
  <c r="C75" i="3" s="1"/>
  <c r="B73" i="3"/>
  <c r="C84" i="3"/>
  <c r="C64" i="3"/>
  <c r="C65" i="3"/>
  <c r="D44" i="3"/>
  <c r="B94" i="3"/>
  <c r="B112" i="3"/>
  <c r="B83" i="3"/>
  <c r="B63" i="3"/>
  <c r="D94" i="3"/>
  <c r="D54" i="3"/>
  <c r="D55" i="3" s="1"/>
  <c r="D84" i="3"/>
  <c r="D85" i="3"/>
  <c r="C43" i="3"/>
  <c r="D64" i="3"/>
  <c r="D74" i="3"/>
  <c r="C53" i="3"/>
  <c r="C94" i="3"/>
  <c r="C95" i="3"/>
  <c r="D58" i="3" l="1"/>
  <c r="C78" i="3"/>
  <c r="C79" i="3"/>
  <c r="D76" i="3"/>
  <c r="D77" i="3" s="1"/>
  <c r="D96" i="3"/>
  <c r="D97" i="3" s="1"/>
  <c r="D46" i="3"/>
  <c r="D47" i="3" s="1"/>
  <c r="C86" i="3"/>
  <c r="C87" i="3"/>
  <c r="C96" i="3"/>
  <c r="C97" i="3"/>
  <c r="D66" i="3"/>
  <c r="D67" i="3" s="1"/>
  <c r="D86" i="3"/>
  <c r="D87" i="3" s="1"/>
  <c r="D95" i="3"/>
  <c r="B96" i="3"/>
  <c r="B97" i="3" s="1"/>
  <c r="C68" i="3"/>
  <c r="C69" i="3"/>
  <c r="B75" i="3"/>
  <c r="B74" i="3"/>
  <c r="C54" i="3"/>
  <c r="C55" i="3"/>
  <c r="B53" i="3"/>
  <c r="D65" i="3"/>
  <c r="B64" i="3"/>
  <c r="B95" i="3"/>
  <c r="C66" i="3"/>
  <c r="C67" i="3"/>
  <c r="C98" i="3"/>
  <c r="C99" i="3"/>
  <c r="D88" i="3"/>
  <c r="D89" i="3" s="1"/>
  <c r="D75" i="3"/>
  <c r="C44" i="3"/>
  <c r="B43" i="3"/>
  <c r="D56" i="3"/>
  <c r="D57" i="3" s="1"/>
  <c r="B84" i="3"/>
  <c r="D45" i="3"/>
  <c r="C85" i="3"/>
  <c r="C76" i="3"/>
  <c r="C77" i="3" s="1"/>
  <c r="C88" i="3" l="1"/>
  <c r="C89" i="3" s="1"/>
  <c r="B54" i="3"/>
  <c r="D49" i="3"/>
  <c r="D48" i="3"/>
  <c r="D78" i="3"/>
  <c r="B66" i="3"/>
  <c r="B67" i="3" s="1"/>
  <c r="D98" i="3"/>
  <c r="C80" i="3"/>
  <c r="B86" i="3"/>
  <c r="B87" i="3"/>
  <c r="B45" i="3"/>
  <c r="B44" i="3"/>
  <c r="B65" i="3"/>
  <c r="C56" i="3"/>
  <c r="C57" i="3"/>
  <c r="C70" i="3"/>
  <c r="C46" i="3"/>
  <c r="C47" i="3"/>
  <c r="B99" i="3"/>
  <c r="B98" i="3"/>
  <c r="B78" i="3"/>
  <c r="C100" i="3"/>
  <c r="C58" i="3"/>
  <c r="C59" i="3"/>
  <c r="B85" i="3"/>
  <c r="C45" i="3"/>
  <c r="D90" i="3"/>
  <c r="D68" i="3"/>
  <c r="D69" i="3"/>
  <c r="B77" i="3"/>
  <c r="B76" i="3"/>
  <c r="D59" i="3"/>
  <c r="D60" i="3" s="1"/>
  <c r="B48" i="3" l="1"/>
  <c r="D100" i="3"/>
  <c r="B56" i="3"/>
  <c r="B57" i="3" s="1"/>
  <c r="D70" i="3"/>
  <c r="B79" i="3"/>
  <c r="B80" i="3" s="1"/>
  <c r="B106" i="3" s="1"/>
  <c r="E106" i="3" s="1"/>
  <c r="D99" i="3"/>
  <c r="D79" i="3"/>
  <c r="D80" i="3" s="1"/>
  <c r="B55" i="3"/>
  <c r="C60" i="3"/>
  <c r="B100" i="3"/>
  <c r="B108" i="3" s="1"/>
  <c r="E108" i="3" s="1"/>
  <c r="B68" i="3"/>
  <c r="B69" i="3" s="1"/>
  <c r="D50" i="3"/>
  <c r="B88" i="3"/>
  <c r="C48" i="3"/>
  <c r="B46" i="3"/>
  <c r="B47" i="3" s="1"/>
  <c r="C90" i="3"/>
  <c r="B50" i="3" l="1"/>
  <c r="B103" i="3" s="1"/>
  <c r="B89" i="3"/>
  <c r="B90" i="3" s="1"/>
  <c r="B107" i="3" s="1"/>
  <c r="E107" i="3" s="1"/>
  <c r="B49" i="3"/>
  <c r="B70" i="3"/>
  <c r="B105" i="3" s="1"/>
  <c r="E105" i="3" s="1"/>
  <c r="B58" i="3"/>
  <c r="C49" i="3"/>
  <c r="C50" i="3" s="1"/>
  <c r="E103" i="3" l="1"/>
  <c r="B59" i="3"/>
  <c r="B60" i="3" s="1"/>
  <c r="B104" i="3" s="1"/>
  <c r="E104" i="3" l="1"/>
  <c r="B8" i="3" s="1"/>
  <c r="B6" i="3"/>
</calcChain>
</file>

<file path=xl/sharedStrings.xml><?xml version="1.0" encoding="utf-8"?>
<sst xmlns="http://schemas.openxmlformats.org/spreadsheetml/2006/main" count="257" uniqueCount="138">
  <si>
    <t>Homeownership by Age</t>
  </si>
  <si>
    <t>https://www.census.gov/housing/hvs/files/currenthvspress.pdf</t>
  </si>
  <si>
    <t>35 and under</t>
  </si>
  <si>
    <t>35-44</t>
  </si>
  <si>
    <t>45-54</t>
  </si>
  <si>
    <t>55-64</t>
  </si>
  <si>
    <t>65+</t>
  </si>
  <si>
    <t>Population Growth by Age Segment</t>
  </si>
  <si>
    <t>Age Seg</t>
  </si>
  <si>
    <t>2017</t>
  </si>
  <si>
    <t>2018</t>
  </si>
  <si>
    <t>2019</t>
  </si>
  <si>
    <t>2020</t>
  </si>
  <si>
    <t>2021</t>
  </si>
  <si>
    <t>2022</t>
  </si>
  <si>
    <t>2023</t>
  </si>
  <si>
    <t>2024</t>
  </si>
  <si>
    <t>18-24</t>
  </si>
  <si>
    <t>25-34</t>
  </si>
  <si>
    <t>Population Growth by Year</t>
  </si>
  <si>
    <t>Market Growth Until 2023</t>
  </si>
  <si>
    <t>Delta</t>
  </si>
  <si>
    <t>% Change</t>
  </si>
  <si>
    <t>Income Segments</t>
  </si>
  <si>
    <t>Seg %</t>
  </si>
  <si>
    <t>Seg Count</t>
  </si>
  <si>
    <t>Pop Total</t>
  </si>
  <si>
    <t>Household Type</t>
  </si>
  <si>
    <t>Family</t>
  </si>
  <si>
    <t>Non-Family</t>
  </si>
  <si>
    <t>Total</t>
  </si>
  <si>
    <t>Total Population</t>
  </si>
  <si>
    <t>Market Info</t>
  </si>
  <si>
    <t>City, State</t>
  </si>
  <si>
    <t>Seattle,WA</t>
  </si>
  <si>
    <t>Coordinates</t>
  </si>
  <si>
    <t>TAM Type</t>
  </si>
  <si>
    <t>zipcodes</t>
  </si>
  <si>
    <t>98103</t>
  </si>
  <si>
    <t>98104</t>
  </si>
  <si>
    <t>Est. Population</t>
  </si>
  <si>
    <t>Total Market Size</t>
  </si>
  <si>
    <t>Total USV</t>
  </si>
  <si>
    <t>Future Population Size</t>
  </si>
  <si>
    <t>Rent Info</t>
  </si>
  <si>
    <t>Maximum Rent</t>
  </si>
  <si>
    <t>Minimum Rent</t>
  </si>
  <si>
    <t>Average Rent</t>
  </si>
  <si>
    <t>Rent To Income</t>
  </si>
  <si>
    <t>Target RTI</t>
  </si>
  <si>
    <t>Max RTI</t>
  </si>
  <si>
    <t xml:space="preserve"> </t>
  </si>
  <si>
    <t>Lower Step</t>
  </si>
  <si>
    <t>Upper Step</t>
  </si>
  <si>
    <t>Categories</t>
  </si>
  <si>
    <t>Bottom</t>
  </si>
  <si>
    <t>Top</t>
  </si>
  <si>
    <t>Step Size</t>
  </si>
  <si>
    <t>Low</t>
  </si>
  <si>
    <t>Moderately Low</t>
  </si>
  <si>
    <t>Target</t>
  </si>
  <si>
    <t>Moderately High</t>
  </si>
  <si>
    <t>High</t>
  </si>
  <si>
    <t>Rent | Incomes</t>
  </si>
  <si>
    <t>End of RTI</t>
  </si>
  <si>
    <t>Age Segment: 18-24</t>
  </si>
  <si>
    <t>All</t>
  </si>
  <si>
    <t>Population</t>
  </si>
  <si>
    <t>Home Owners</t>
  </si>
  <si>
    <t>Renters</t>
  </si>
  <si>
    <t>Family HO</t>
  </si>
  <si>
    <t>Non-Family HO</t>
  </si>
  <si>
    <t>Family R</t>
  </si>
  <si>
    <t>Non-Family R</t>
  </si>
  <si>
    <t>Est. Market</t>
  </si>
  <si>
    <t>Age Segment: 25-34</t>
  </si>
  <si>
    <t>Age Segment: 35-44</t>
  </si>
  <si>
    <t>Age Segment: 45-54</t>
  </si>
  <si>
    <t>Age Segment: 55-64</t>
  </si>
  <si>
    <t>Age Segment: 65+</t>
  </si>
  <si>
    <t>Target Segment</t>
  </si>
  <si>
    <t>Est. Market Size</t>
  </si>
  <si>
    <t>USVs</t>
  </si>
  <si>
    <t>2024 Mkt Growth</t>
  </si>
  <si>
    <t>2024 Mkt Size</t>
  </si>
  <si>
    <t>Future Year</t>
  </si>
  <si>
    <t>Total Average Age</t>
  </si>
  <si>
    <t>Total Average Growth</t>
  </si>
  <si>
    <t>spreadsheet_kind</t>
  </si>
  <si>
    <t>tam</t>
  </si>
  <si>
    <t>spreadsheet_version</t>
  </si>
  <si>
    <t>Number of Households</t>
  </si>
  <si>
    <t>Population by Age Segment</t>
  </si>
  <si>
    <t>85+</t>
  </si>
  <si>
    <t>80-84</t>
  </si>
  <si>
    <t>75-79</t>
  </si>
  <si>
    <t>70-74</t>
  </si>
  <si>
    <t>67-69</t>
  </si>
  <si>
    <t>65-66</t>
  </si>
  <si>
    <t>62-64</t>
  </si>
  <si>
    <t>60-61</t>
  </si>
  <si>
    <t>55-59</t>
  </si>
  <si>
    <t>50-54</t>
  </si>
  <si>
    <t>45-49</t>
  </si>
  <si>
    <t>40-44</t>
  </si>
  <si>
    <t>35-39</t>
  </si>
  <si>
    <t>30-34</t>
  </si>
  <si>
    <t>25-29</t>
  </si>
  <si>
    <t>22-24</t>
  </si>
  <si>
    <t>21</t>
  </si>
  <si>
    <t>20</t>
  </si>
  <si>
    <t>18-19</t>
  </si>
  <si>
    <t>15-17</t>
  </si>
  <si>
    <t>10-14</t>
  </si>
  <si>
    <t>5-9</t>
  </si>
  <si>
    <t>0-4</t>
  </si>
  <si>
    <t>Household by Type</t>
  </si>
  <si>
    <t>Married</t>
  </si>
  <si>
    <t>Single Female</t>
  </si>
  <si>
    <t>Single Male</t>
  </si>
  <si>
    <t>One Person</t>
  </si>
  <si>
    <t>Income Distribution</t>
  </si>
  <si>
    <t>$200k</t>
  </si>
  <si>
    <t>$150-200k</t>
  </si>
  <si>
    <t>$125-150k</t>
  </si>
  <si>
    <t>$100-125k</t>
  </si>
  <si>
    <t>$75-100k</t>
  </si>
  <si>
    <t>$60-75k</t>
  </si>
  <si>
    <t>$50-60k</t>
  </si>
  <si>
    <t>$45-50k</t>
  </si>
  <si>
    <t>$40-45k</t>
  </si>
  <si>
    <t>$35-40k</t>
  </si>
  <si>
    <t>$30-35k</t>
  </si>
  <si>
    <t>$25-30k</t>
  </si>
  <si>
    <t>$20-25k</t>
  </si>
  <si>
    <t>$15-20k</t>
  </si>
  <si>
    <t>$10-15k</t>
  </si>
  <si>
    <t>&lt; $10k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</si>
</sst>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0.000%"/>
    <numFmt numFmtId="166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44" fontId="1" fillId="0" borderId="0"/>
    <xf numFmtId="0" fontId="6" fillId="2" borderId="0"/>
    <xf numFmtId="0" fontId="7" fillId="3" borderId="0"/>
    <xf numFmtId="0" fontId="8" fillId="4" borderId="0"/>
    <xf numFmtId="0" fontId="1" fillId="5" borderId="0"/>
    <xf numFmtId="0" fontId="1" fillId="6" borderId="0"/>
  </cellStyleXfs>
  <cellXfs count="26">
    <xf numFmtId="0" fontId="0" fillId="0" borderId="0" xfId="0"/>
    <xf numFmtId="10" fontId="0" fillId="0" borderId="0" xfId="0" applyNumberFormat="1"/>
    <xf numFmtId="1" fontId="0" fillId="0" borderId="0" xfId="0" applyNumberFormat="1"/>
    <xf numFmtId="9" fontId="0" fillId="0" borderId="0" xfId="1" applyNumberFormat="1" applyFont="1"/>
    <xf numFmtId="10" fontId="0" fillId="0" borderId="0" xfId="1" applyNumberFormat="1" applyFont="1"/>
    <xf numFmtId="164" fontId="3" fillId="0" borderId="0" xfId="1" applyNumberFormat="1" applyFont="1" applyProtection="1">
      <protection locked="0"/>
    </xf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1" fontId="5" fillId="0" borderId="0" xfId="0" applyNumberFormat="1" applyFont="1"/>
    <xf numFmtId="0" fontId="7" fillId="3" borderId="0" xfId="4"/>
    <xf numFmtId="0" fontId="6" fillId="2" borderId="0" xfId="3"/>
    <xf numFmtId="0" fontId="8" fillId="4" borderId="0" xfId="5"/>
    <xf numFmtId="9" fontId="8" fillId="4" borderId="0" xfId="5" applyNumberFormat="1"/>
    <xf numFmtId="9" fontId="1" fillId="5" borderId="0" xfId="6" applyNumberFormat="1"/>
    <xf numFmtId="0" fontId="1" fillId="6" borderId="0" xfId="7"/>
    <xf numFmtId="10" fontId="7" fillId="3" borderId="0" xfId="4" applyNumberFormat="1"/>
    <xf numFmtId="9" fontId="7" fillId="3" borderId="0" xfId="4" applyNumberFormat="1"/>
    <xf numFmtId="9" fontId="7" fillId="3" borderId="0" xfId="1" applyNumberFormat="1" applyFont="1" applyFill="1"/>
    <xf numFmtId="10" fontId="8" fillId="4" borderId="0" xfId="5" applyNumberFormat="1"/>
    <xf numFmtId="44" fontId="0" fillId="0" borderId="0" xfId="2" applyFont="1"/>
    <xf numFmtId="166" fontId="0" fillId="0" borderId="0" xfId="1" applyNumberFormat="1" applyFont="1"/>
    <xf numFmtId="6" fontId="6" fillId="2" borderId="0" xfId="3" applyNumberFormat="1"/>
    <xf numFmtId="6" fontId="0" fillId="0" borderId="0" xfId="0" applyNumberFormat="1"/>
    <xf numFmtId="44" fontId="2" fillId="0" borderId="0" xfId="0" applyNumberFormat="1" applyFont="1" applyAlignment="1">
      <alignment horizontal="right"/>
    </xf>
  </cellXfs>
  <cellStyles count="8">
    <cellStyle name="20% - Accent2" xfId="6" builtinId="34"/>
    <cellStyle name="40% - Accent2" xfId="7" builtinId="35"/>
    <cellStyle name="Bad" xfId="5" builtinId="27"/>
    <cellStyle name="Currency" xfId="2" builtinId="4"/>
    <cellStyle name="Good" xfId="3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selection activeCell="A10" sqref="A10"/>
    </sheetView>
  </sheetViews>
  <sheetFormatPr baseColWidth="10" defaultRowHeight="16" x14ac:dyDescent="0.2"/>
  <sheetData>
    <row r="1" spans="1:9" x14ac:dyDescent="0.2">
      <c r="A1" t="s">
        <v>0</v>
      </c>
      <c r="C1" t="s">
        <v>1</v>
      </c>
    </row>
    <row r="2" spans="1:9" x14ac:dyDescent="0.2">
      <c r="A2" t="s">
        <v>2</v>
      </c>
      <c r="B2">
        <v>0.37</v>
      </c>
    </row>
    <row r="3" spans="1:9" x14ac:dyDescent="0.2">
      <c r="A3" t="s">
        <v>3</v>
      </c>
      <c r="B3">
        <v>0.61</v>
      </c>
    </row>
    <row r="4" spans="1:9" x14ac:dyDescent="0.2">
      <c r="A4" t="s">
        <v>4</v>
      </c>
      <c r="B4">
        <v>0.7</v>
      </c>
    </row>
    <row r="5" spans="1:9" x14ac:dyDescent="0.2">
      <c r="A5" t="s">
        <v>5</v>
      </c>
      <c r="B5">
        <v>0.76</v>
      </c>
    </row>
    <row r="6" spans="1:9" x14ac:dyDescent="0.2">
      <c r="A6" t="s">
        <v>6</v>
      </c>
      <c r="B6">
        <v>0.79</v>
      </c>
    </row>
    <row r="8" spans="1:9" x14ac:dyDescent="0.2">
      <c r="A8" t="s">
        <v>7</v>
      </c>
    </row>
    <row r="9" spans="1:9" x14ac:dyDescent="0.2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</row>
    <row r="10" spans="1:9" x14ac:dyDescent="0.2">
      <c r="A10" t="s">
        <v>17</v>
      </c>
      <c r="B10">
        <v>-3.82E-3</v>
      </c>
      <c r="C10">
        <v>-3.82E-3</v>
      </c>
      <c r="D10">
        <v>-3.82E-3</v>
      </c>
      <c r="E10">
        <v>-3.82E-3</v>
      </c>
      <c r="F10">
        <v>1.42E-3</v>
      </c>
      <c r="G10">
        <v>1.42E-3</v>
      </c>
      <c r="H10">
        <v>1.42E-3</v>
      </c>
      <c r="I10">
        <v>1.42E-3</v>
      </c>
    </row>
    <row r="11" spans="1:9" x14ac:dyDescent="0.2">
      <c r="A11" t="s">
        <v>18</v>
      </c>
      <c r="B11">
        <v>1.04E-2</v>
      </c>
      <c r="C11">
        <v>1.04E-2</v>
      </c>
      <c r="D11">
        <v>1.04E-2</v>
      </c>
      <c r="E11">
        <v>1.04E-2</v>
      </c>
      <c r="F11">
        <v>9.4400000000000005E-3</v>
      </c>
      <c r="G11">
        <v>9.4400000000000005E-3</v>
      </c>
      <c r="H11">
        <v>9.4400000000000005E-3</v>
      </c>
      <c r="I11">
        <v>9.4400000000000005E-3</v>
      </c>
    </row>
    <row r="12" spans="1:9" x14ac:dyDescent="0.2">
      <c r="A12" t="s">
        <v>3</v>
      </c>
      <c r="B12">
        <v>1.04E-2</v>
      </c>
      <c r="C12">
        <v>1.04E-2</v>
      </c>
      <c r="D12">
        <v>1.04E-2</v>
      </c>
      <c r="E12">
        <v>1.04E-2</v>
      </c>
      <c r="F12">
        <v>9.4400000000000005E-3</v>
      </c>
      <c r="G12">
        <v>9.4400000000000005E-3</v>
      </c>
      <c r="H12">
        <v>9.4400000000000005E-3</v>
      </c>
      <c r="I12">
        <v>9.4400000000000005E-3</v>
      </c>
    </row>
    <row r="13" spans="1:9" x14ac:dyDescent="0.2">
      <c r="A13" t="s">
        <v>4</v>
      </c>
      <c r="B13">
        <v>-2.5500000000000002E-3</v>
      </c>
      <c r="C13">
        <v>-2.5500000000000002E-3</v>
      </c>
      <c r="D13">
        <v>-2.5500000000000002E-3</v>
      </c>
      <c r="E13">
        <v>-2.5500000000000002E-3</v>
      </c>
      <c r="F13">
        <v>-5.9100000000000003E-3</v>
      </c>
      <c r="G13">
        <v>-5.9100000000000003E-3</v>
      </c>
      <c r="H13">
        <v>-5.9100000000000003E-3</v>
      </c>
      <c r="I13">
        <v>-5.9100000000000003E-3</v>
      </c>
    </row>
    <row r="14" spans="1:9" x14ac:dyDescent="0.2">
      <c r="A14" t="s">
        <v>5</v>
      </c>
      <c r="B14">
        <v>-2.5500000000000002E-3</v>
      </c>
      <c r="C14">
        <v>-2.5500000000000002E-3</v>
      </c>
      <c r="D14">
        <v>-2.5500000000000002E-3</v>
      </c>
      <c r="E14">
        <v>-2.5500000000000002E-3</v>
      </c>
      <c r="F14">
        <v>-5.9100000000000003E-3</v>
      </c>
      <c r="G14">
        <v>-5.9100000000000003E-3</v>
      </c>
      <c r="H14">
        <v>-5.9100000000000003E-3</v>
      </c>
      <c r="I14">
        <v>-5.9100000000000003E-3</v>
      </c>
    </row>
    <row r="15" spans="1:9" x14ac:dyDescent="0.2">
      <c r="A15" t="s">
        <v>6</v>
      </c>
      <c r="B15">
        <v>3.0360000000000002E-2</v>
      </c>
      <c r="C15">
        <v>3.0360000000000002E-2</v>
      </c>
      <c r="D15">
        <v>3.0360000000000002E-2</v>
      </c>
      <c r="E15">
        <v>3.0360000000000002E-2</v>
      </c>
      <c r="F15">
        <v>3.5159999999999997E-2</v>
      </c>
      <c r="G15">
        <v>3.5159999999999997E-2</v>
      </c>
      <c r="H15">
        <v>3.5159999999999997E-2</v>
      </c>
      <c r="I15">
        <v>3.5159999999999997E-2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workbookViewId="0">
      <selection activeCell="E23" sqref="E23"/>
    </sheetView>
  </sheetViews>
  <sheetFormatPr baseColWidth="10" defaultColWidth="11" defaultRowHeight="16" x14ac:dyDescent="0.2"/>
  <cols>
    <col min="1" max="1" width="17.5" style="6" customWidth="1"/>
    <col min="2" max="2" width="11.1640625" style="6" bestFit="1" customWidth="1"/>
  </cols>
  <sheetData>
    <row r="1" spans="1:10" x14ac:dyDescent="0.2">
      <c r="A1" s="7" t="s">
        <v>19</v>
      </c>
      <c r="B1" s="7"/>
      <c r="C1" s="7"/>
      <c r="D1" s="7"/>
      <c r="E1" s="7"/>
      <c r="F1" s="7"/>
      <c r="G1" s="7"/>
      <c r="H1" s="7"/>
      <c r="I1" s="7"/>
    </row>
    <row r="2" spans="1:10" s="7" customFormat="1" x14ac:dyDescent="0.2">
      <c r="B2" s="7">
        <v>2016</v>
      </c>
      <c r="C2" s="7">
        <v>2017</v>
      </c>
      <c r="D2" s="7">
        <v>2018</v>
      </c>
      <c r="E2" s="7">
        <v>2019</v>
      </c>
      <c r="F2" s="7">
        <v>2020</v>
      </c>
      <c r="G2" s="7">
        <v>2021</v>
      </c>
      <c r="H2" s="7">
        <v>2022</v>
      </c>
      <c r="I2" s="7">
        <v>2023</v>
      </c>
      <c r="J2" s="7">
        <v>2024</v>
      </c>
    </row>
    <row r="3" spans="1:10" x14ac:dyDescent="0.2">
      <c r="A3" t="s">
        <v>17</v>
      </c>
      <c r="B3" s="13">
        <f>ROUND(('Zip Data 98103'!B1*('Zip Data 98103'!B23+'Zip Data 98103'!B22+'Zip Data 98103'!B21+'Zip Data 98103'!B20))+('Zip Data 98104'!B1*('Zip Data 98104'!B23+'Zip Data 98104'!B22+'Zip Data 98104'!B21+'Zip Data 98104'!B20)), 0)</f>
        <v>6012</v>
      </c>
      <c r="C3">
        <f>ROUND(B3*(1+'Static Data'!B10),0)</f>
        <v>5989</v>
      </c>
      <c r="D3">
        <f>ROUND(C3*(1+'Static Data'!C10),0)</f>
        <v>5966</v>
      </c>
      <c r="E3">
        <f>ROUND(D3*(1+'Static Data'!D10),0)</f>
        <v>5943</v>
      </c>
      <c r="F3">
        <f>ROUND(E3*(1+'Static Data'!E10),0)</f>
        <v>5920</v>
      </c>
      <c r="G3">
        <f>ROUND(F3*(1+'Static Data'!F10),0)</f>
        <v>5928</v>
      </c>
      <c r="H3">
        <f>ROUND(G3*(1+'Static Data'!G10),0)</f>
        <v>5936</v>
      </c>
      <c r="I3">
        <f>ROUND(H3*(1+'Static Data'!H10),0)</f>
        <v>5944</v>
      </c>
      <c r="J3">
        <f>ROUND(I3*(1+'Static Data'!I10),0)</f>
        <v>5952</v>
      </c>
    </row>
    <row r="4" spans="1:10" x14ac:dyDescent="0.2">
      <c r="A4" t="s">
        <v>18</v>
      </c>
      <c r="B4" s="13">
        <f>ROUND(('Zip Data 98103'!B1*('Zip Data 98103'!B18+'Zip Data 98103'!B19))+('Zip Data 98104'!B1*('Zip Data 98104'!B18+'Zip Data 98104'!B19)), 0)</f>
        <v>18847</v>
      </c>
      <c r="C4">
        <f>ROUND(B4*(1+'Static Data'!B11),0)</f>
        <v>19043</v>
      </c>
      <c r="D4">
        <f>ROUND(C4*(1+'Static Data'!C11),0)</f>
        <v>19241</v>
      </c>
      <c r="E4">
        <f>ROUND(D4*(1+'Static Data'!D11),0)</f>
        <v>19441</v>
      </c>
      <c r="F4">
        <f>ROUND(E4*(1+'Static Data'!E11),0)</f>
        <v>19643</v>
      </c>
      <c r="G4">
        <f>ROUND(F4*(1+'Static Data'!F11),0)</f>
        <v>19828</v>
      </c>
      <c r="H4">
        <f>ROUND(G4*(1+'Static Data'!G11),0)</f>
        <v>20015</v>
      </c>
      <c r="I4">
        <f>ROUND(H4*(1+'Static Data'!H11),0)</f>
        <v>20204</v>
      </c>
      <c r="J4">
        <f>ROUND(I4*(1+'Static Data'!I11),0)</f>
        <v>20395</v>
      </c>
    </row>
    <row r="5" spans="1:10" x14ac:dyDescent="0.2">
      <c r="A5" t="s">
        <v>3</v>
      </c>
      <c r="B5" s="13">
        <f>ROUND(('Zip Data 98103'!B1*('Zip Data 98103'!B17+'Zip Data 98103'!B16))+('Zip Data 98104'!B1*('Zip Data 98104'!B17+'Zip Data 98104'!B16)), 0)</f>
        <v>10048</v>
      </c>
      <c r="C5">
        <f>ROUND(B5*(1+'Static Data'!B12),0)</f>
        <v>10152</v>
      </c>
      <c r="D5">
        <f>ROUND(C5*(1+'Static Data'!C12),0)</f>
        <v>10258</v>
      </c>
      <c r="E5">
        <f>ROUND(D5*(1+'Static Data'!D12),0)</f>
        <v>10365</v>
      </c>
      <c r="F5">
        <f>ROUND(E5*(1+'Static Data'!E12),0)</f>
        <v>10473</v>
      </c>
      <c r="G5">
        <f>ROUND(F5*(1+'Static Data'!F12),0)</f>
        <v>10572</v>
      </c>
      <c r="H5">
        <f>ROUND(G5*(1+'Static Data'!G12),0)</f>
        <v>10672</v>
      </c>
      <c r="I5">
        <f>ROUND(H5*(1+'Static Data'!H12),0)</f>
        <v>10773</v>
      </c>
      <c r="J5">
        <f>ROUND(I5*(1+'Static Data'!I12),0)</f>
        <v>10875</v>
      </c>
    </row>
    <row r="6" spans="1:10" x14ac:dyDescent="0.2">
      <c r="A6" t="s">
        <v>4</v>
      </c>
      <c r="B6" s="13">
        <f>ROUND(('Zip Data 98103'!B1*('Zip Data 98103'!B15+'Zip Data 98103'!B14))+('Zip Data 98104'!B1*('Zip Data 98104'!B15+'Zip Data 98104'!B14)), 0)</f>
        <v>7280</v>
      </c>
      <c r="C6">
        <f>ROUND(B6*(1+'Static Data'!B13),0)</f>
        <v>7261</v>
      </c>
      <c r="D6">
        <f>ROUND(C6*(1+'Static Data'!C13),0)</f>
        <v>7242</v>
      </c>
      <c r="E6">
        <f>ROUND(D6*(1+'Static Data'!D13),0)</f>
        <v>7224</v>
      </c>
      <c r="F6">
        <f>ROUND(E6*(1+'Static Data'!E13),0)</f>
        <v>7206</v>
      </c>
      <c r="G6">
        <f>ROUND(F6*(1+'Static Data'!F13),0)</f>
        <v>7163</v>
      </c>
      <c r="H6">
        <f>ROUND(G6*(1+'Static Data'!G13),0)</f>
        <v>7121</v>
      </c>
      <c r="I6">
        <f>ROUND(H6*(1+'Static Data'!H13),0)</f>
        <v>7079</v>
      </c>
      <c r="J6">
        <f>ROUND(I6*(1+'Static Data'!I13),0)</f>
        <v>7037</v>
      </c>
    </row>
    <row r="7" spans="1:10" x14ac:dyDescent="0.2">
      <c r="A7" t="s">
        <v>5</v>
      </c>
      <c r="B7" s="13">
        <f>ROUND(('Zip Data 98103'!B1*('Zip Data 98103'!B13+'Zip Data 98103'!B12+'Zip Data 98103'!B11))+('Zip Data 98104'!B1*('Zip Data 98104'!B13+'Zip Data 98104'!B12+'Zip Data 98104'!B11)), 0)</f>
        <v>6839</v>
      </c>
      <c r="C7">
        <f>ROUND(B7*(1+'Static Data'!B14),0)</f>
        <v>6822</v>
      </c>
      <c r="D7">
        <f>ROUND(C7*(1+'Static Data'!C14),0)</f>
        <v>6805</v>
      </c>
      <c r="E7">
        <f>ROUND(D7*(1+'Static Data'!D14),0)</f>
        <v>6788</v>
      </c>
      <c r="F7">
        <f>ROUND(E7*(1+'Static Data'!E14),0)</f>
        <v>6771</v>
      </c>
      <c r="G7">
        <f>ROUND(F7*(1+'Static Data'!F14),0)</f>
        <v>6731</v>
      </c>
      <c r="H7">
        <f>ROUND(G7*(1+'Static Data'!G14),0)</f>
        <v>6691</v>
      </c>
      <c r="I7">
        <f>ROUND(H7*(1+'Static Data'!H14),0)</f>
        <v>6651</v>
      </c>
      <c r="J7">
        <f>ROUND(I7*(1+'Static Data'!I14),0)</f>
        <v>6612</v>
      </c>
    </row>
    <row r="8" spans="1:10" x14ac:dyDescent="0.2">
      <c r="A8" t="s">
        <v>6</v>
      </c>
      <c r="B8" s="13">
        <f>ROUND(('Zip Data 98103'!B1*('Zip Data 98103'!B10+'Zip Data 98103'!B9+'Zip Data 98103'!B8+'Zip Data 98103'!B7+'Zip Data 98103'!B6+'Zip Data 98103'!B5))+('Zip Data 98104'!B1*('Zip Data 98104'!B10+'Zip Data 98104'!B9+'Zip Data 98104'!B8+'Zip Data 98104'!B7+'Zip Data 98104'!B6+'Zip Data 98104'!B5)), 0)</f>
        <v>6806</v>
      </c>
      <c r="C8">
        <f>ROUND(B8*(1+'Static Data'!B15),0)</f>
        <v>7013</v>
      </c>
      <c r="D8">
        <f>ROUND(C8*(1+'Static Data'!C15),0)</f>
        <v>7226</v>
      </c>
      <c r="E8">
        <f>ROUND(D8*(1+'Static Data'!D15),0)</f>
        <v>7445</v>
      </c>
      <c r="F8">
        <f>ROUND(E8*(1+'Static Data'!E15),0)</f>
        <v>7671</v>
      </c>
      <c r="G8">
        <f>ROUND(F8*(1+'Static Data'!F15),0)</f>
        <v>7941</v>
      </c>
      <c r="H8">
        <f>ROUND(G8*(1+'Static Data'!G15),0)</f>
        <v>8220</v>
      </c>
      <c r="I8">
        <f>ROUND(H8*(1+'Static Data'!H15),0)</f>
        <v>8509</v>
      </c>
      <c r="J8">
        <f>ROUND(I8*(1+'Static Data'!I15),0)</f>
        <v>8808</v>
      </c>
    </row>
    <row r="10" spans="1:10" x14ac:dyDescent="0.2">
      <c r="A10" s="7" t="s">
        <v>20</v>
      </c>
      <c r="B10" s="7"/>
      <c r="C10" s="7"/>
      <c r="D10" s="7"/>
      <c r="E10" s="7"/>
    </row>
    <row r="11" spans="1:10" x14ac:dyDescent="0.2">
      <c r="B11">
        <v>2019</v>
      </c>
      <c r="C11">
        <v>2024</v>
      </c>
      <c r="D11" t="s">
        <v>21</v>
      </c>
      <c r="E11" t="s">
        <v>22</v>
      </c>
    </row>
    <row r="12" spans="1:10" x14ac:dyDescent="0.2">
      <c r="A12" t="s">
        <v>17</v>
      </c>
      <c r="B12">
        <f t="shared" ref="B12:B17" si="0">E3</f>
        <v>5943</v>
      </c>
      <c r="C12">
        <f t="shared" ref="C12:C17" si="1">I3</f>
        <v>5944</v>
      </c>
      <c r="D12">
        <f t="shared" ref="D12:D17" si="2">C12-B12</f>
        <v>1</v>
      </c>
      <c r="E12" s="4">
        <f t="shared" ref="E12:E17" si="3">D12/C12</f>
        <v>1.6823687752355316E-4</v>
      </c>
    </row>
    <row r="13" spans="1:10" x14ac:dyDescent="0.2">
      <c r="A13" t="s">
        <v>18</v>
      </c>
      <c r="B13">
        <f t="shared" si="0"/>
        <v>19441</v>
      </c>
      <c r="C13">
        <f t="shared" si="1"/>
        <v>20204</v>
      </c>
      <c r="D13">
        <f t="shared" si="2"/>
        <v>763</v>
      </c>
      <c r="E13" s="4">
        <f t="shared" si="3"/>
        <v>3.7764799049693133E-2</v>
      </c>
    </row>
    <row r="14" spans="1:10" x14ac:dyDescent="0.2">
      <c r="A14" t="s">
        <v>3</v>
      </c>
      <c r="B14">
        <f t="shared" si="0"/>
        <v>10365</v>
      </c>
      <c r="C14">
        <f t="shared" si="1"/>
        <v>10773</v>
      </c>
      <c r="D14">
        <f t="shared" si="2"/>
        <v>408</v>
      </c>
      <c r="E14" s="4">
        <f t="shared" si="3"/>
        <v>3.7872458925090502E-2</v>
      </c>
    </row>
    <row r="15" spans="1:10" x14ac:dyDescent="0.2">
      <c r="A15" t="s">
        <v>4</v>
      </c>
      <c r="B15">
        <f t="shared" si="0"/>
        <v>7224</v>
      </c>
      <c r="C15">
        <f t="shared" si="1"/>
        <v>7079</v>
      </c>
      <c r="D15">
        <f t="shared" si="2"/>
        <v>-145</v>
      </c>
      <c r="E15" s="4">
        <f t="shared" si="3"/>
        <v>-2.0483119084616471E-2</v>
      </c>
    </row>
    <row r="16" spans="1:10" x14ac:dyDescent="0.2">
      <c r="A16" t="s">
        <v>5</v>
      </c>
      <c r="B16">
        <f t="shared" si="0"/>
        <v>6788</v>
      </c>
      <c r="C16">
        <f t="shared" si="1"/>
        <v>6651</v>
      </c>
      <c r="D16">
        <f t="shared" si="2"/>
        <v>-137</v>
      </c>
      <c r="E16" s="4">
        <f t="shared" si="3"/>
        <v>-2.0598406254698543E-2</v>
      </c>
    </row>
    <row r="17" spans="1:5" x14ac:dyDescent="0.2">
      <c r="A17" t="s">
        <v>6</v>
      </c>
      <c r="B17">
        <f t="shared" si="0"/>
        <v>7445</v>
      </c>
      <c r="C17">
        <f t="shared" si="1"/>
        <v>8509</v>
      </c>
      <c r="D17">
        <f t="shared" si="2"/>
        <v>1064</v>
      </c>
      <c r="E17" s="4">
        <f t="shared" si="3"/>
        <v>0.12504407098366435</v>
      </c>
    </row>
    <row r="19" spans="1:5" x14ac:dyDescent="0.2">
      <c r="A19" s="7" t="s">
        <v>23</v>
      </c>
      <c r="B19" s="7" t="s">
        <v>24</v>
      </c>
      <c r="C19" s="7" t="s">
        <v>25</v>
      </c>
      <c r="D19" s="7" t="s">
        <v>26</v>
      </c>
    </row>
    <row r="20" spans="1:5" x14ac:dyDescent="0.2">
      <c r="A20" s="21">
        <v>40000</v>
      </c>
      <c r="B20" s="14">
        <f>C20/D20</f>
        <v>7.2267453317127847E-2</v>
      </c>
      <c r="C20" s="2">
        <f>(('Zip Data 98103'!B45*'Zip Data 98103'!B1)+('Zip Data 98104'!B45*'Zip Data 98104'!B1)+('Zip Data 98103'!B44*'Zip Data 98103'!B1)+('Zip Data 98104'!B44*'Zip Data 98104'!B1))</f>
        <v>4578.3599700000004</v>
      </c>
      <c r="D20" s="2">
        <f>('Zip Data 98103'!B1+'Zip Data 98104'!B1)</f>
        <v>63353</v>
      </c>
    </row>
    <row r="21" spans="1:5" x14ac:dyDescent="0.2">
      <c r="A21" s="21">
        <v>50000</v>
      </c>
      <c r="B21" s="14">
        <f>C21/D21</f>
        <v>6.9246950420658843E-2</v>
      </c>
      <c r="C21" s="2">
        <f>(('Zip Data 98103'!B43*'Zip Data 98103'!B1)+('Zip Data 98104'!B43*'Zip Data 98104'!B1))</f>
        <v>4387.0020500000001</v>
      </c>
      <c r="D21" s="2">
        <f>('Zip Data 98103'!B1+'Zip Data 98104'!B1)</f>
        <v>63353</v>
      </c>
    </row>
    <row r="22" spans="1:5" x14ac:dyDescent="0.2">
      <c r="A22" s="21">
        <v>60000</v>
      </c>
      <c r="B22" s="14">
        <f>C22/D22</f>
        <v>0.58440544204694334</v>
      </c>
      <c r="C22" s="2">
        <f>(('Zip Data 98103'!B42*'Zip Data 98103'!B1)+('Zip Data 98104'!B42*'Zip Data 98104'!B1)+('Zip Data 98103'!B41*'Zip Data 98103'!B1)+('Zip Data 98104'!B41*'Zip Data 98104'!B1)+('Zip Data 98103'!B40*'Zip Data 98103'!B1)+('Zip Data 98104'!B40*'Zip Data 98104'!B1)+('Zip Data 98103'!B39*'Zip Data 98103'!B1)+('Zip Data 98104'!B39*'Zip Data 98104'!B1)+('Zip Data 98103'!B38*'Zip Data 98103'!B1)+('Zip Data 98104'!B38*'Zip Data 98104'!B1)+('Zip Data 98103'!B37*'Zip Data 98103'!B1)+('Zip Data 98104'!B37*'Zip Data 98104'!B1))</f>
        <v>37023.83797</v>
      </c>
      <c r="D22" s="2">
        <f>('Zip Data 98103'!B1+'Zip Data 98104'!B1)</f>
        <v>63353</v>
      </c>
    </row>
    <row r="24" spans="1:5" x14ac:dyDescent="0.2">
      <c r="A24" s="7" t="s">
        <v>27</v>
      </c>
      <c r="B24" s="7"/>
    </row>
    <row r="25" spans="1:5" x14ac:dyDescent="0.2">
      <c r="A25" t="s">
        <v>28</v>
      </c>
      <c r="B25" s="3">
        <f>((('Zip Data 98103'!B30+'Zip Data 98103'!B31+'Zip Data 98103'!B32)*'Zip Data 98103'!B1)+(('Zip Data 98104'!B30+'Zip Data 98104'!B31+'Zip Data 98104'!B32)*'Zip Data 98104'!B1))/Computation!B29</f>
        <v>0.37703308789070761</v>
      </c>
      <c r="C25" s="22"/>
    </row>
    <row r="26" spans="1:5" x14ac:dyDescent="0.2">
      <c r="A26" t="s">
        <v>29</v>
      </c>
      <c r="B26" s="3">
        <f>1-B25</f>
        <v>0.62296691210929245</v>
      </c>
      <c r="C26" s="22"/>
    </row>
    <row r="27" spans="1:5" x14ac:dyDescent="0.2">
      <c r="A27" t="s">
        <v>30</v>
      </c>
      <c r="B27" s="3">
        <f>SUM(B25:B26)</f>
        <v>1</v>
      </c>
      <c r="C27" s="3"/>
    </row>
    <row r="29" spans="1:5" x14ac:dyDescent="0.2">
      <c r="A29" s="7" t="s">
        <v>31</v>
      </c>
      <c r="B29" s="13">
        <f>'Zip Data 98103'!B1+'Zip Data 98104'!B1</f>
        <v>63353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2"/>
  <sheetViews>
    <sheetView tabSelected="1" workbookViewId="0">
      <selection activeCell="A53" sqref="A53"/>
    </sheetView>
  </sheetViews>
  <sheetFormatPr baseColWidth="10" defaultColWidth="11" defaultRowHeight="16" x14ac:dyDescent="0.2"/>
  <cols>
    <col min="1" max="1" width="20.83203125" style="6" customWidth="1"/>
    <col min="2" max="2" width="14.5" style="6" customWidth="1"/>
    <col min="3" max="3" width="11.5" style="6" bestFit="1" customWidth="1"/>
    <col min="4" max="4" width="15.33203125" style="6" customWidth="1"/>
    <col min="5" max="5" width="13.83203125" style="6" customWidth="1"/>
  </cols>
  <sheetData>
    <row r="1" spans="1:17" x14ac:dyDescent="0.2">
      <c r="A1" s="7" t="s">
        <v>32</v>
      </c>
    </row>
    <row r="2" spans="1:17" x14ac:dyDescent="0.2">
      <c r="A2" t="s">
        <v>33</v>
      </c>
      <c r="B2" s="12" t="s">
        <v>34</v>
      </c>
    </row>
    <row r="3" spans="1:17" x14ac:dyDescent="0.2">
      <c r="A3" t="s">
        <v>35</v>
      </c>
      <c r="B3" s="12">
        <v>47.621947300000002</v>
      </c>
      <c r="C3" s="12">
        <v>-122.35174429999999</v>
      </c>
    </row>
    <row r="4" spans="1:17" x14ac:dyDescent="0.2">
      <c r="A4" t="s">
        <v>36</v>
      </c>
      <c r="B4" t="s">
        <v>37</v>
      </c>
      <c r="C4" t="s">
        <v>38</v>
      </c>
      <c r="D4" t="s">
        <v>39</v>
      </c>
    </row>
    <row r="5" spans="1:17" x14ac:dyDescent="0.2">
      <c r="A5" s="7" t="s">
        <v>40</v>
      </c>
      <c r="B5" s="2">
        <f>Computation!B29</f>
        <v>63353</v>
      </c>
    </row>
    <row r="6" spans="1:17" x14ac:dyDescent="0.2">
      <c r="A6" s="7" t="s">
        <v>41</v>
      </c>
      <c r="B6" s="2">
        <f>SUM(B103:B108)</f>
        <v>18434</v>
      </c>
    </row>
    <row r="7" spans="1:17" x14ac:dyDescent="0.2">
      <c r="A7" s="7" t="s">
        <v>42</v>
      </c>
      <c r="B7" s="10">
        <f>SUM(C103:C108)</f>
        <v>28</v>
      </c>
    </row>
    <row r="8" spans="1:17" x14ac:dyDescent="0.2">
      <c r="A8" s="7" t="s">
        <v>43</v>
      </c>
      <c r="B8" s="2">
        <f>SUM(E103:E108)</f>
        <v>18967</v>
      </c>
    </row>
    <row r="9" spans="1:17" x14ac:dyDescent="0.2">
      <c r="A9" s="7"/>
      <c r="B9" s="2"/>
    </row>
    <row r="10" spans="1:17" x14ac:dyDescent="0.2">
      <c r="A10" s="7" t="s">
        <v>44</v>
      </c>
    </row>
    <row r="11" spans="1:17" x14ac:dyDescent="0.2">
      <c r="A11" t="s">
        <v>45</v>
      </c>
      <c r="B11" s="23">
        <v>240000</v>
      </c>
      <c r="C11" s="9"/>
    </row>
    <row r="12" spans="1:17" x14ac:dyDescent="0.2">
      <c r="A12" s="24" t="s">
        <v>46</v>
      </c>
      <c r="B12" s="23">
        <v>7278</v>
      </c>
      <c r="C12" s="9"/>
    </row>
    <row r="13" spans="1:17" x14ac:dyDescent="0.2">
      <c r="A13" s="24" t="s">
        <v>47</v>
      </c>
      <c r="B13" s="23">
        <v>7278</v>
      </c>
    </row>
    <row r="14" spans="1:17" x14ac:dyDescent="0.2">
      <c r="M14" s="7"/>
      <c r="N14" s="7"/>
      <c r="O14" s="7"/>
      <c r="P14" s="7"/>
      <c r="Q14" s="7"/>
    </row>
    <row r="15" spans="1:17" x14ac:dyDescent="0.2">
      <c r="A15" s="7" t="s">
        <v>48</v>
      </c>
      <c r="M15" s="7"/>
      <c r="N15" s="7"/>
      <c r="O15" s="7"/>
      <c r="P15" s="7"/>
      <c r="Q15" s="7"/>
    </row>
    <row r="16" spans="1:17" x14ac:dyDescent="0.2">
      <c r="A16" t="s">
        <v>49</v>
      </c>
      <c r="B16" s="17">
        <v>0.33</v>
      </c>
      <c r="M16" s="7"/>
      <c r="N16" s="7"/>
      <c r="O16" s="7"/>
      <c r="P16" s="7"/>
      <c r="Q16" s="7"/>
    </row>
    <row r="17" spans="1:18" x14ac:dyDescent="0.2">
      <c r="A17" t="s">
        <v>50</v>
      </c>
      <c r="B17" s="17">
        <f>MAX(0.55, B16+0.2)</f>
        <v>0.55000000000000004</v>
      </c>
      <c r="E17" t="s">
        <v>51</v>
      </c>
      <c r="M17" s="7"/>
      <c r="N17" s="7"/>
      <c r="O17" s="7"/>
      <c r="P17" s="7"/>
      <c r="Q17" s="7"/>
    </row>
    <row r="18" spans="1:18" x14ac:dyDescent="0.2">
      <c r="A18" t="s">
        <v>52</v>
      </c>
      <c r="B18" s="17">
        <f>B16/2.5</f>
        <v>0.13200000000000001</v>
      </c>
      <c r="M18" s="7"/>
      <c r="N18" s="7"/>
      <c r="O18" s="7"/>
      <c r="P18" s="7"/>
      <c r="Q18" s="7"/>
    </row>
    <row r="19" spans="1:18" x14ac:dyDescent="0.2">
      <c r="A19" t="s">
        <v>53</v>
      </c>
      <c r="B19" s="17">
        <f>(B17-B16)/2.5</f>
        <v>8.8000000000000009E-2</v>
      </c>
      <c r="M19" s="7"/>
      <c r="N19" s="7"/>
      <c r="O19" s="7"/>
      <c r="P19" s="7"/>
      <c r="Q19" s="7"/>
    </row>
    <row r="20" spans="1:18" x14ac:dyDescent="0.2">
      <c r="A20" s="7" t="s">
        <v>54</v>
      </c>
      <c r="B20" s="7" t="s">
        <v>55</v>
      </c>
      <c r="C20" s="7" t="s">
        <v>56</v>
      </c>
      <c r="D20" s="7" t="s">
        <v>57</v>
      </c>
      <c r="M20" s="7"/>
      <c r="N20" s="7"/>
      <c r="O20" s="7"/>
      <c r="P20" s="7"/>
      <c r="Q20" s="7"/>
    </row>
    <row r="21" spans="1:18" x14ac:dyDescent="0.2">
      <c r="A21" t="s">
        <v>58</v>
      </c>
      <c r="B21" s="19">
        <v>0</v>
      </c>
      <c r="C21" s="19">
        <f>ROUND(B21+B18,2)</f>
        <v>0.13</v>
      </c>
      <c r="D21" s="20">
        <f>B18</f>
        <v>0.13200000000000001</v>
      </c>
      <c r="M21" s="7"/>
      <c r="N21" s="7"/>
      <c r="O21" s="7"/>
      <c r="P21" s="7"/>
      <c r="Q21" s="7"/>
    </row>
    <row r="22" spans="1:18" x14ac:dyDescent="0.2">
      <c r="A22" t="s">
        <v>59</v>
      </c>
      <c r="B22" s="19">
        <f>C21</f>
        <v>0.13</v>
      </c>
      <c r="C22" s="19">
        <f>ROUND(B22+B18,2)</f>
        <v>0.26</v>
      </c>
      <c r="D22" s="20">
        <f>B18</f>
        <v>0.13200000000000001</v>
      </c>
      <c r="M22" s="7"/>
      <c r="N22" s="7"/>
      <c r="O22" s="7"/>
      <c r="P22" s="7"/>
      <c r="Q22" s="7"/>
    </row>
    <row r="23" spans="1:18" x14ac:dyDescent="0.2">
      <c r="A23" t="s">
        <v>60</v>
      </c>
      <c r="B23" s="18">
        <f>C22</f>
        <v>0.26</v>
      </c>
      <c r="C23" s="18">
        <f>B23+(B18/2)+(B19/2)</f>
        <v>0.37</v>
      </c>
      <c r="D23" s="20">
        <f>(B18+B19)/2</f>
        <v>0.11000000000000001</v>
      </c>
      <c r="M23" s="7"/>
      <c r="N23" s="7"/>
      <c r="O23" s="7"/>
      <c r="P23" s="7"/>
      <c r="Q23" s="7"/>
    </row>
    <row r="24" spans="1:18" x14ac:dyDescent="0.2">
      <c r="A24" t="s">
        <v>61</v>
      </c>
      <c r="B24" s="18">
        <f>C23</f>
        <v>0.37</v>
      </c>
      <c r="C24" s="18">
        <f>ROUND(B24+B19,2)</f>
        <v>0.46</v>
      </c>
      <c r="D24" s="20">
        <f>B19</f>
        <v>8.8000000000000009E-2</v>
      </c>
      <c r="M24" s="7"/>
      <c r="N24" s="7"/>
      <c r="O24" s="7"/>
      <c r="P24" s="7"/>
      <c r="Q24" s="7"/>
    </row>
    <row r="25" spans="1:18" x14ac:dyDescent="0.2">
      <c r="A25" t="s">
        <v>62</v>
      </c>
      <c r="B25" s="18">
        <f>C24</f>
        <v>0.46</v>
      </c>
      <c r="C25" s="18">
        <f>ROUND(B25+B19, 2)</f>
        <v>0.55000000000000004</v>
      </c>
      <c r="D25" s="20">
        <f>B19</f>
        <v>8.8000000000000009E-2</v>
      </c>
      <c r="M25" s="7"/>
      <c r="N25" s="7"/>
      <c r="O25" s="7"/>
      <c r="P25" s="7"/>
      <c r="Q25" s="7"/>
    </row>
    <row r="26" spans="1:18" x14ac:dyDescent="0.2">
      <c r="A26" s="7" t="s">
        <v>63</v>
      </c>
      <c r="B26">
        <v>30000</v>
      </c>
      <c r="C26">
        <v>40000</v>
      </c>
      <c r="D26">
        <v>50000</v>
      </c>
      <c r="E26">
        <v>60000</v>
      </c>
      <c r="F26">
        <v>70000</v>
      </c>
      <c r="N26" s="7"/>
      <c r="O26" s="7"/>
      <c r="P26" s="7"/>
      <c r="Q26" s="7"/>
    </row>
    <row r="27" spans="1:18" x14ac:dyDescent="0.2">
      <c r="A27">
        <v>800</v>
      </c>
      <c r="B27" s="15">
        <f t="shared" ref="B27:Q40" si="0">IF(B$26&lt;&gt;"", IF($A27&lt;&gt;"",$A27/(B$26/12),""), "")</f>
        <v>0.32</v>
      </c>
      <c r="C27" s="15">
        <f t="shared" si="0"/>
        <v>0.24</v>
      </c>
      <c r="D27" s="15">
        <f t="shared" si="0"/>
        <v>0.19199999999999998</v>
      </c>
      <c r="E27" s="15">
        <f t="shared" si="0"/>
        <v>0.16</v>
      </c>
      <c r="F27" s="15">
        <f t="shared" si="0"/>
        <v>0.13714285714285715</v>
      </c>
      <c r="G27" s="15" t="str">
        <f t="shared" si="0"/>
        <v/>
      </c>
      <c r="H27" s="15" t="str">
        <f t="shared" si="0"/>
        <v/>
      </c>
      <c r="I27" s="15" t="str">
        <f t="shared" si="0"/>
        <v/>
      </c>
      <c r="J27" s="15" t="str">
        <f t="shared" si="0"/>
        <v/>
      </c>
      <c r="K27" s="15" t="str">
        <f t="shared" si="0"/>
        <v/>
      </c>
      <c r="L27" s="15" t="str">
        <f t="shared" si="0"/>
        <v/>
      </c>
      <c r="M27" s="15" t="str">
        <f t="shared" si="0"/>
        <v/>
      </c>
      <c r="N27" s="15" t="str">
        <f t="shared" si="0"/>
        <v/>
      </c>
      <c r="O27" s="15" t="str">
        <f t="shared" si="0"/>
        <v/>
      </c>
      <c r="P27" s="15" t="str">
        <f t="shared" si="0"/>
        <v/>
      </c>
      <c r="Q27" s="15" t="str">
        <f t="shared" si="0"/>
        <v/>
      </c>
      <c r="R27" s="16" t="s">
        <v>64</v>
      </c>
    </row>
    <row r="28" spans="1:18" x14ac:dyDescent="0.2">
      <c r="A28">
        <v>1000</v>
      </c>
      <c r="B28" s="15">
        <f t="shared" si="0"/>
        <v>0.4</v>
      </c>
      <c r="C28" s="15">
        <f t="shared" si="0"/>
        <v>0.3</v>
      </c>
      <c r="D28" s="15">
        <f t="shared" si="0"/>
        <v>0.24</v>
      </c>
      <c r="E28" s="15">
        <f t="shared" si="0"/>
        <v>0.2</v>
      </c>
      <c r="F28" s="15">
        <f t="shared" si="0"/>
        <v>0.17142857142857143</v>
      </c>
      <c r="G28" s="15" t="str">
        <f t="shared" si="0"/>
        <v/>
      </c>
      <c r="H28" s="15" t="str">
        <f t="shared" si="0"/>
        <v/>
      </c>
      <c r="I28" s="15" t="str">
        <f t="shared" si="0"/>
        <v/>
      </c>
      <c r="J28" s="15" t="str">
        <f t="shared" si="0"/>
        <v/>
      </c>
      <c r="K28" s="15" t="str">
        <f t="shared" si="0"/>
        <v/>
      </c>
      <c r="L28" s="15" t="str">
        <f t="shared" si="0"/>
        <v/>
      </c>
      <c r="M28" s="15" t="str">
        <f t="shared" si="0"/>
        <v/>
      </c>
      <c r="N28" s="15" t="str">
        <f t="shared" si="0"/>
        <v/>
      </c>
      <c r="O28" s="15" t="str">
        <f t="shared" si="0"/>
        <v/>
      </c>
      <c r="P28" s="15" t="str">
        <f t="shared" si="0"/>
        <v/>
      </c>
      <c r="Q28" s="15" t="str">
        <f t="shared" si="0"/>
        <v/>
      </c>
    </row>
    <row r="29" spans="1:18" x14ac:dyDescent="0.2">
      <c r="A29">
        <v>1200</v>
      </c>
      <c r="B29" s="15">
        <f t="shared" si="0"/>
        <v>0.48</v>
      </c>
      <c r="C29" s="15">
        <f t="shared" si="0"/>
        <v>0.36</v>
      </c>
      <c r="D29" s="15">
        <f t="shared" si="0"/>
        <v>0.28799999999999998</v>
      </c>
      <c r="E29" s="15">
        <f t="shared" si="0"/>
        <v>0.24</v>
      </c>
      <c r="F29" s="15">
        <f t="shared" si="0"/>
        <v>0.20571428571428574</v>
      </c>
      <c r="G29" s="15" t="str">
        <f t="shared" si="0"/>
        <v/>
      </c>
      <c r="H29" s="15" t="str">
        <f t="shared" si="0"/>
        <v/>
      </c>
      <c r="I29" s="15" t="str">
        <f t="shared" si="0"/>
        <v/>
      </c>
      <c r="J29" s="15" t="str">
        <f t="shared" si="0"/>
        <v/>
      </c>
      <c r="K29" s="15" t="str">
        <f t="shared" si="0"/>
        <v/>
      </c>
      <c r="L29" s="15" t="str">
        <f t="shared" si="0"/>
        <v/>
      </c>
      <c r="M29" s="15" t="str">
        <f t="shared" si="0"/>
        <v/>
      </c>
      <c r="N29" s="15" t="str">
        <f t="shared" si="0"/>
        <v/>
      </c>
      <c r="O29" s="15" t="str">
        <f t="shared" si="0"/>
        <v/>
      </c>
      <c r="P29" s="15" t="str">
        <f t="shared" si="0"/>
        <v/>
      </c>
      <c r="Q29" s="15" t="str">
        <f t="shared" si="0"/>
        <v/>
      </c>
    </row>
    <row r="30" spans="1:18" x14ac:dyDescent="0.2">
      <c r="A30">
        <v>1400</v>
      </c>
      <c r="B30" s="15">
        <f t="shared" si="0"/>
        <v>0.56000000000000005</v>
      </c>
      <c r="C30" s="15">
        <f t="shared" si="0"/>
        <v>0.42</v>
      </c>
      <c r="D30" s="15">
        <f t="shared" si="0"/>
        <v>0.33599999999999997</v>
      </c>
      <c r="E30" s="15">
        <f t="shared" si="0"/>
        <v>0.28000000000000003</v>
      </c>
      <c r="F30" s="15">
        <f t="shared" si="0"/>
        <v>0.24000000000000002</v>
      </c>
      <c r="G30" s="15" t="str">
        <f t="shared" si="0"/>
        <v/>
      </c>
      <c r="H30" s="15" t="str">
        <f t="shared" si="0"/>
        <v/>
      </c>
      <c r="I30" s="15" t="str">
        <f t="shared" si="0"/>
        <v/>
      </c>
      <c r="J30" s="15" t="str">
        <f t="shared" si="0"/>
        <v/>
      </c>
      <c r="K30" s="15" t="str">
        <f t="shared" si="0"/>
        <v/>
      </c>
      <c r="L30" s="15" t="str">
        <f t="shared" si="0"/>
        <v/>
      </c>
      <c r="M30" s="15" t="str">
        <f t="shared" si="0"/>
        <v/>
      </c>
      <c r="N30" s="15" t="str">
        <f t="shared" si="0"/>
        <v/>
      </c>
      <c r="O30" s="15" t="str">
        <f t="shared" si="0"/>
        <v/>
      </c>
      <c r="P30" s="15" t="str">
        <f t="shared" si="0"/>
        <v/>
      </c>
      <c r="Q30" s="15" t="str">
        <f t="shared" si="0"/>
        <v/>
      </c>
    </row>
    <row r="31" spans="1:18" x14ac:dyDescent="0.2">
      <c r="B31" s="15" t="str">
        <f t="shared" si="0"/>
        <v/>
      </c>
      <c r="C31" s="15" t="str">
        <f t="shared" si="0"/>
        <v/>
      </c>
      <c r="D31" s="15" t="str">
        <f t="shared" si="0"/>
        <v/>
      </c>
      <c r="E31" s="15" t="str">
        <f t="shared" si="0"/>
        <v/>
      </c>
      <c r="F31" s="15" t="str">
        <f t="shared" si="0"/>
        <v/>
      </c>
      <c r="G31" s="15" t="str">
        <f t="shared" si="0"/>
        <v/>
      </c>
      <c r="H31" s="15" t="str">
        <f t="shared" si="0"/>
        <v/>
      </c>
      <c r="I31" s="15" t="str">
        <f t="shared" si="0"/>
        <v/>
      </c>
      <c r="J31" s="15" t="str">
        <f t="shared" si="0"/>
        <v/>
      </c>
      <c r="K31" s="15" t="str">
        <f t="shared" si="0"/>
        <v/>
      </c>
      <c r="L31" s="15" t="str">
        <f t="shared" si="0"/>
        <v/>
      </c>
      <c r="M31" s="15" t="str">
        <f t="shared" si="0"/>
        <v/>
      </c>
      <c r="N31" s="15" t="str">
        <f t="shared" si="0"/>
        <v/>
      </c>
      <c r="O31" s="15" t="str">
        <f t="shared" si="0"/>
        <v/>
      </c>
      <c r="P31" s="15" t="str">
        <f t="shared" si="0"/>
        <v/>
      </c>
      <c r="Q31" s="15" t="str">
        <f t="shared" si="0"/>
        <v/>
      </c>
    </row>
    <row r="32" spans="1:18" x14ac:dyDescent="0.2">
      <c r="B32" s="15" t="str">
        <f t="shared" si="0"/>
        <v/>
      </c>
      <c r="C32" s="15" t="str">
        <f t="shared" si="0"/>
        <v/>
      </c>
      <c r="D32" s="15" t="str">
        <f t="shared" si="0"/>
        <v/>
      </c>
      <c r="E32" s="15" t="str">
        <f t="shared" si="0"/>
        <v/>
      </c>
      <c r="F32" s="15" t="str">
        <f t="shared" si="0"/>
        <v/>
      </c>
      <c r="G32" s="15" t="str">
        <f t="shared" si="0"/>
        <v/>
      </c>
      <c r="H32" s="15" t="str">
        <f t="shared" si="0"/>
        <v/>
      </c>
      <c r="I32" s="15" t="str">
        <f t="shared" si="0"/>
        <v/>
      </c>
      <c r="J32" s="15" t="str">
        <f t="shared" si="0"/>
        <v/>
      </c>
      <c r="K32" s="15" t="str">
        <f t="shared" si="0"/>
        <v/>
      </c>
      <c r="L32" s="15" t="str">
        <f t="shared" si="0"/>
        <v/>
      </c>
      <c r="M32" s="15" t="str">
        <f t="shared" si="0"/>
        <v/>
      </c>
      <c r="N32" s="15" t="str">
        <f t="shared" si="0"/>
        <v/>
      </c>
      <c r="O32" s="15" t="str">
        <f t="shared" si="0"/>
        <v/>
      </c>
      <c r="P32" s="15" t="str">
        <f t="shared" si="0"/>
        <v/>
      </c>
      <c r="Q32" s="15" t="str">
        <f t="shared" si="0"/>
        <v/>
      </c>
    </row>
    <row r="33" spans="1:18" x14ac:dyDescent="0.2">
      <c r="B33" s="15" t="str">
        <f t="shared" si="0"/>
        <v/>
      </c>
      <c r="C33" s="15" t="str">
        <f t="shared" si="0"/>
        <v/>
      </c>
      <c r="D33" s="15" t="str">
        <f t="shared" si="0"/>
        <v/>
      </c>
      <c r="E33" s="15" t="str">
        <f t="shared" si="0"/>
        <v/>
      </c>
      <c r="F33" s="15" t="str">
        <f t="shared" si="0"/>
        <v/>
      </c>
      <c r="G33" s="15" t="str">
        <f t="shared" si="0"/>
        <v/>
      </c>
      <c r="H33" s="15" t="str">
        <f t="shared" si="0"/>
        <v/>
      </c>
      <c r="I33" s="15" t="str">
        <f t="shared" si="0"/>
        <v/>
      </c>
      <c r="J33" s="15" t="str">
        <f t="shared" si="0"/>
        <v/>
      </c>
      <c r="K33" s="15" t="str">
        <f t="shared" si="0"/>
        <v/>
      </c>
      <c r="L33" s="15" t="str">
        <f t="shared" si="0"/>
        <v/>
      </c>
      <c r="M33" s="15" t="str">
        <f t="shared" si="0"/>
        <v/>
      </c>
      <c r="N33" s="15" t="str">
        <f t="shared" si="0"/>
        <v/>
      </c>
      <c r="O33" s="15" t="str">
        <f t="shared" si="0"/>
        <v/>
      </c>
      <c r="P33" s="15" t="str">
        <f t="shared" si="0"/>
        <v/>
      </c>
      <c r="Q33" s="15" t="str">
        <f t="shared" si="0"/>
        <v/>
      </c>
    </row>
    <row r="34" spans="1:18" x14ac:dyDescent="0.2">
      <c r="B34" s="15" t="str">
        <f t="shared" si="0"/>
        <v/>
      </c>
      <c r="C34" s="15" t="str">
        <f t="shared" si="0"/>
        <v/>
      </c>
      <c r="D34" s="15" t="str">
        <f t="shared" si="0"/>
        <v/>
      </c>
      <c r="E34" s="15" t="str">
        <f t="shared" si="0"/>
        <v/>
      </c>
      <c r="F34" s="15" t="str">
        <f t="shared" si="0"/>
        <v/>
      </c>
      <c r="G34" s="15" t="str">
        <f t="shared" si="0"/>
        <v/>
      </c>
      <c r="H34" s="15" t="str">
        <f t="shared" si="0"/>
        <v/>
      </c>
      <c r="I34" s="15" t="str">
        <f t="shared" si="0"/>
        <v/>
      </c>
      <c r="J34" s="15" t="str">
        <f t="shared" si="0"/>
        <v/>
      </c>
      <c r="K34" s="15" t="str">
        <f t="shared" si="0"/>
        <v/>
      </c>
      <c r="L34" s="15" t="str">
        <f t="shared" si="0"/>
        <v/>
      </c>
      <c r="M34" s="15" t="str">
        <f t="shared" si="0"/>
        <v/>
      </c>
      <c r="N34" s="15" t="str">
        <f t="shared" si="0"/>
        <v/>
      </c>
      <c r="O34" s="15" t="str">
        <f t="shared" si="0"/>
        <v/>
      </c>
      <c r="P34" s="15" t="str">
        <f t="shared" si="0"/>
        <v/>
      </c>
      <c r="Q34" s="15" t="str">
        <f t="shared" si="0"/>
        <v/>
      </c>
    </row>
    <row r="35" spans="1:18" x14ac:dyDescent="0.2">
      <c r="B35" s="15" t="str">
        <f t="shared" si="0"/>
        <v/>
      </c>
      <c r="C35" s="15" t="str">
        <f t="shared" si="0"/>
        <v/>
      </c>
      <c r="D35" s="15" t="str">
        <f t="shared" si="0"/>
        <v/>
      </c>
      <c r="E35" s="15" t="str">
        <f t="shared" si="0"/>
        <v/>
      </c>
      <c r="F35" s="15" t="str">
        <f t="shared" si="0"/>
        <v/>
      </c>
      <c r="G35" s="15" t="str">
        <f t="shared" si="0"/>
        <v/>
      </c>
      <c r="H35" s="15" t="str">
        <f t="shared" si="0"/>
        <v/>
      </c>
      <c r="I35" s="15" t="str">
        <f t="shared" si="0"/>
        <v/>
      </c>
      <c r="J35" s="15" t="str">
        <f t="shared" si="0"/>
        <v/>
      </c>
      <c r="K35" s="15" t="str">
        <f t="shared" si="0"/>
        <v/>
      </c>
      <c r="L35" s="15" t="str">
        <f t="shared" si="0"/>
        <v/>
      </c>
      <c r="M35" s="15" t="str">
        <f t="shared" si="0"/>
        <v/>
      </c>
      <c r="N35" s="15" t="str">
        <f t="shared" si="0"/>
        <v/>
      </c>
      <c r="O35" s="15" t="str">
        <f t="shared" si="0"/>
        <v/>
      </c>
      <c r="P35" s="15" t="str">
        <f t="shared" si="0"/>
        <v/>
      </c>
      <c r="Q35" s="15" t="str">
        <f t="shared" si="0"/>
        <v/>
      </c>
    </row>
    <row r="36" spans="1:18" x14ac:dyDescent="0.2">
      <c r="B36" s="15" t="str">
        <f t="shared" si="0"/>
        <v/>
      </c>
      <c r="C36" s="15" t="str">
        <f t="shared" si="0"/>
        <v/>
      </c>
      <c r="D36" s="15" t="str">
        <f t="shared" si="0"/>
        <v/>
      </c>
      <c r="E36" s="15" t="str">
        <f t="shared" si="0"/>
        <v/>
      </c>
      <c r="F36" s="15" t="str">
        <f t="shared" si="0"/>
        <v/>
      </c>
      <c r="G36" s="15" t="str">
        <f t="shared" si="0"/>
        <v/>
      </c>
      <c r="H36" s="15" t="str">
        <f t="shared" si="0"/>
        <v/>
      </c>
      <c r="I36" s="15" t="str">
        <f t="shared" si="0"/>
        <v/>
      </c>
      <c r="J36" s="15" t="str">
        <f t="shared" si="0"/>
        <v/>
      </c>
      <c r="K36" s="15" t="str">
        <f t="shared" si="0"/>
        <v/>
      </c>
      <c r="L36" s="15" t="str">
        <f t="shared" si="0"/>
        <v/>
      </c>
      <c r="M36" s="15" t="str">
        <f t="shared" si="0"/>
        <v/>
      </c>
      <c r="N36" s="15" t="str">
        <f t="shared" si="0"/>
        <v/>
      </c>
      <c r="O36" s="15" t="str">
        <f t="shared" si="0"/>
        <v/>
      </c>
      <c r="P36" s="15" t="str">
        <f t="shared" si="0"/>
        <v/>
      </c>
      <c r="Q36" s="15" t="str">
        <f t="shared" si="0"/>
        <v/>
      </c>
    </row>
    <row r="37" spans="1:18" x14ac:dyDescent="0.2">
      <c r="B37" s="15" t="str">
        <f t="shared" si="0"/>
        <v/>
      </c>
      <c r="C37" s="15" t="str">
        <f t="shared" si="0"/>
        <v/>
      </c>
      <c r="D37" s="15" t="str">
        <f t="shared" si="0"/>
        <v/>
      </c>
      <c r="E37" s="15" t="str">
        <f t="shared" si="0"/>
        <v/>
      </c>
      <c r="F37" s="15" t="str">
        <f t="shared" si="0"/>
        <v/>
      </c>
      <c r="G37" s="15" t="str">
        <f t="shared" si="0"/>
        <v/>
      </c>
      <c r="H37" s="15" t="str">
        <f t="shared" si="0"/>
        <v/>
      </c>
      <c r="I37" s="15" t="str">
        <f t="shared" si="0"/>
        <v/>
      </c>
      <c r="J37" s="15" t="str">
        <f t="shared" si="0"/>
        <v/>
      </c>
      <c r="K37" s="15" t="str">
        <f t="shared" si="0"/>
        <v/>
      </c>
      <c r="L37" s="15" t="str">
        <f t="shared" si="0"/>
        <v/>
      </c>
      <c r="M37" s="15" t="str">
        <f t="shared" si="0"/>
        <v/>
      </c>
      <c r="N37" s="15" t="str">
        <f t="shared" si="0"/>
        <v/>
      </c>
      <c r="O37" s="15" t="str">
        <f t="shared" si="0"/>
        <v/>
      </c>
      <c r="P37" s="15" t="str">
        <f t="shared" si="0"/>
        <v/>
      </c>
      <c r="Q37" s="15" t="str">
        <f t="shared" si="0"/>
        <v/>
      </c>
    </row>
    <row r="38" spans="1:18" x14ac:dyDescent="0.2">
      <c r="B38" s="15" t="str">
        <f t="shared" si="0"/>
        <v/>
      </c>
      <c r="C38" s="15" t="str">
        <f t="shared" si="0"/>
        <v/>
      </c>
      <c r="D38" s="15" t="str">
        <f t="shared" si="0"/>
        <v/>
      </c>
      <c r="E38" s="15" t="str">
        <f t="shared" si="0"/>
        <v/>
      </c>
      <c r="F38" s="15" t="str">
        <f t="shared" si="0"/>
        <v/>
      </c>
      <c r="G38" s="15" t="str">
        <f t="shared" si="0"/>
        <v/>
      </c>
      <c r="H38" s="15" t="str">
        <f t="shared" si="0"/>
        <v/>
      </c>
      <c r="I38" s="15" t="str">
        <f t="shared" si="0"/>
        <v/>
      </c>
      <c r="J38" s="15" t="str">
        <f t="shared" si="0"/>
        <v/>
      </c>
      <c r="K38" s="15" t="str">
        <f t="shared" si="0"/>
        <v/>
      </c>
      <c r="L38" s="15" t="str">
        <f t="shared" si="0"/>
        <v/>
      </c>
      <c r="M38" s="15" t="str">
        <f t="shared" si="0"/>
        <v/>
      </c>
      <c r="N38" s="15" t="str">
        <f t="shared" si="0"/>
        <v/>
      </c>
      <c r="O38" s="15" t="str">
        <f t="shared" si="0"/>
        <v/>
      </c>
      <c r="P38" s="15" t="str">
        <f t="shared" si="0"/>
        <v/>
      </c>
      <c r="Q38" s="15" t="str">
        <f t="shared" si="0"/>
        <v/>
      </c>
    </row>
    <row r="39" spans="1:18" x14ac:dyDescent="0.2">
      <c r="B39" s="15" t="str">
        <f t="shared" si="0"/>
        <v/>
      </c>
      <c r="C39" s="15" t="str">
        <f t="shared" si="0"/>
        <v/>
      </c>
      <c r="D39" s="15" t="str">
        <f t="shared" si="0"/>
        <v/>
      </c>
      <c r="E39" s="15" t="str">
        <f t="shared" si="0"/>
        <v/>
      </c>
      <c r="F39" s="15" t="str">
        <f t="shared" si="0"/>
        <v/>
      </c>
      <c r="G39" s="15" t="str">
        <f t="shared" si="0"/>
        <v/>
      </c>
      <c r="H39" s="15" t="str">
        <f t="shared" si="0"/>
        <v/>
      </c>
      <c r="I39" s="15" t="str">
        <f t="shared" si="0"/>
        <v/>
      </c>
      <c r="J39" s="15" t="str">
        <f t="shared" si="0"/>
        <v/>
      </c>
      <c r="K39" s="15" t="str">
        <f t="shared" si="0"/>
        <v/>
      </c>
      <c r="L39" s="15" t="str">
        <f t="shared" si="0"/>
        <v/>
      </c>
      <c r="M39" s="15" t="str">
        <f t="shared" si="0"/>
        <v/>
      </c>
      <c r="N39" s="15" t="str">
        <f t="shared" si="0"/>
        <v/>
      </c>
      <c r="O39" s="15" t="str">
        <f t="shared" si="0"/>
        <v/>
      </c>
      <c r="P39" s="15" t="str">
        <f t="shared" si="0"/>
        <v/>
      </c>
      <c r="Q39" s="15" t="str">
        <f t="shared" si="0"/>
        <v/>
      </c>
    </row>
    <row r="40" spans="1:18" x14ac:dyDescent="0.2">
      <c r="B40" s="15" t="str">
        <f t="shared" si="0"/>
        <v/>
      </c>
      <c r="C40" s="15" t="str">
        <f t="shared" si="0"/>
        <v/>
      </c>
      <c r="D40" s="15" t="str">
        <f t="shared" si="0"/>
        <v/>
      </c>
      <c r="E40" s="15" t="str">
        <f t="shared" si="0"/>
        <v/>
      </c>
      <c r="F40" s="15" t="str">
        <f t="shared" si="0"/>
        <v/>
      </c>
      <c r="G40" s="15" t="str">
        <f t="shared" si="0"/>
        <v/>
      </c>
      <c r="H40" s="15" t="str">
        <f t="shared" si="0"/>
        <v/>
      </c>
      <c r="I40" s="15" t="str">
        <f t="shared" si="0"/>
        <v/>
      </c>
      <c r="J40" s="15" t="str">
        <f t="shared" si="0"/>
        <v/>
      </c>
      <c r="K40" s="15" t="str">
        <f t="shared" si="0"/>
        <v/>
      </c>
      <c r="L40" s="15" t="str">
        <f t="shared" si="0"/>
        <v/>
      </c>
      <c r="M40" s="15" t="str">
        <f t="shared" si="0"/>
        <v/>
      </c>
      <c r="N40" s="15" t="str">
        <f t="shared" si="0"/>
        <v/>
      </c>
      <c r="O40" s="15" t="str">
        <f t="shared" si="0"/>
        <v/>
      </c>
      <c r="P40" s="15" t="str">
        <f t="shared" si="0"/>
        <v/>
      </c>
      <c r="Q40" s="15" t="str">
        <f t="shared" si="0"/>
        <v/>
      </c>
      <c r="R40" s="16" t="s">
        <v>64</v>
      </c>
    </row>
    <row r="41" spans="1:18" x14ac:dyDescent="0.2">
      <c r="M41" s="7"/>
      <c r="N41" s="7"/>
      <c r="O41" s="7"/>
      <c r="P41" s="7"/>
      <c r="Q41" s="7"/>
    </row>
    <row r="42" spans="1:18" s="7" customFormat="1" x14ac:dyDescent="0.2">
      <c r="A42" s="7" t="s">
        <v>65</v>
      </c>
      <c r="B42" s="25">
        <f>Computation!$A$20</f>
        <v>40000</v>
      </c>
      <c r="C42" s="25">
        <f>Computation!$A$21</f>
        <v>50000</v>
      </c>
      <c r="D42" s="25">
        <f>Computation!$A$22</f>
        <v>60000</v>
      </c>
      <c r="E42" s="8" t="s">
        <v>66</v>
      </c>
    </row>
    <row r="43" spans="1:18" x14ac:dyDescent="0.2">
      <c r="A43" t="s">
        <v>67</v>
      </c>
      <c r="B43">
        <f>ROUND(E43*Computation!B20,0)+C43</f>
        <v>4314</v>
      </c>
      <c r="C43">
        <f>ROUND(E43*Computation!B21,0)+D43</f>
        <v>3885</v>
      </c>
      <c r="D43">
        <f>ROUND(E43*Computation!B22,0)</f>
        <v>3473</v>
      </c>
      <c r="E43">
        <f>ROUND(Computation!$E$3,0)</f>
        <v>5943</v>
      </c>
    </row>
    <row r="44" spans="1:18" x14ac:dyDescent="0.2">
      <c r="A44" t="s">
        <v>68</v>
      </c>
      <c r="B44">
        <f>ROUND(B43*'Static Data'!$B$2,0)</f>
        <v>1596</v>
      </c>
      <c r="C44">
        <f>ROUND(C43*'Static Data'!$B$2,0)</f>
        <v>1437</v>
      </c>
      <c r="D44">
        <f>ROUND(D43*'Static Data'!$B$2,0)</f>
        <v>1285</v>
      </c>
    </row>
    <row r="45" spans="1:18" x14ac:dyDescent="0.2">
      <c r="A45" t="s">
        <v>69</v>
      </c>
      <c r="B45">
        <f>B43-B44</f>
        <v>2718</v>
      </c>
      <c r="C45">
        <f>C43-C44</f>
        <v>2448</v>
      </c>
      <c r="D45">
        <f>D43-D44</f>
        <v>2188</v>
      </c>
    </row>
    <row r="46" spans="1:18" x14ac:dyDescent="0.2">
      <c r="A46" t="s">
        <v>70</v>
      </c>
      <c r="B46">
        <f>ROUND(B44*Computation!$B$25,0)</f>
        <v>602</v>
      </c>
      <c r="C46">
        <f>ROUND(C44*Computation!$B$25,0)</f>
        <v>542</v>
      </c>
      <c r="D46">
        <f>ROUND(D44*Computation!$B$25,0)</f>
        <v>484</v>
      </c>
    </row>
    <row r="47" spans="1:18" x14ac:dyDescent="0.2">
      <c r="A47" t="s">
        <v>71</v>
      </c>
      <c r="B47">
        <f>B44-B46</f>
        <v>994</v>
      </c>
      <c r="C47">
        <f>C44-C46</f>
        <v>895</v>
      </c>
      <c r="D47">
        <f>D44-D46</f>
        <v>801</v>
      </c>
    </row>
    <row r="48" spans="1:18" x14ac:dyDescent="0.2">
      <c r="A48" t="s">
        <v>72</v>
      </c>
      <c r="B48">
        <f>ROUND(B45*Computation!$B$25,0)</f>
        <v>1025</v>
      </c>
      <c r="C48">
        <f>ROUND(C45*Computation!$B$25,0)</f>
        <v>923</v>
      </c>
      <c r="D48">
        <f>ROUND(D45*Computation!$B$25,0)</f>
        <v>825</v>
      </c>
    </row>
    <row r="49" spans="1:6" x14ac:dyDescent="0.2">
      <c r="A49" t="s">
        <v>73</v>
      </c>
      <c r="B49">
        <f>B45-B48</f>
        <v>1693</v>
      </c>
      <c r="C49">
        <f>C45-C48</f>
        <v>1525</v>
      </c>
      <c r="D49">
        <f>D45-D48</f>
        <v>1363</v>
      </c>
    </row>
    <row r="50" spans="1:6" x14ac:dyDescent="0.2">
      <c r="A50" t="s">
        <v>74</v>
      </c>
      <c r="B50">
        <f>SUM(B48:B49)</f>
        <v>2718</v>
      </c>
      <c r="C50">
        <f>SUM(C48:C49)</f>
        <v>2448</v>
      </c>
      <c r="D50">
        <f>SUM(D48:D49)</f>
        <v>2188</v>
      </c>
    </row>
    <row r="52" spans="1:6" x14ac:dyDescent="0.2">
      <c r="A52" s="7" t="s">
        <v>75</v>
      </c>
      <c r="B52" s="25">
        <f>Computation!$A$20</f>
        <v>40000</v>
      </c>
      <c r="C52" s="25">
        <f>Computation!$A$21</f>
        <v>50000</v>
      </c>
      <c r="D52" s="25">
        <f>Computation!$A$22</f>
        <v>60000</v>
      </c>
      <c r="E52" s="8" t="s">
        <v>66</v>
      </c>
    </row>
    <row r="53" spans="1:6" x14ac:dyDescent="0.2">
      <c r="A53" t="s">
        <v>67</v>
      </c>
      <c r="B53">
        <f>ROUND(E53*Computation!B20,0)+C53</f>
        <v>14112</v>
      </c>
      <c r="C53">
        <f>ROUND(E53*Computation!B21,0)+D53</f>
        <v>12707</v>
      </c>
      <c r="D53">
        <f>ROUND(E53*Computation!B22,0)</f>
        <v>11361</v>
      </c>
      <c r="E53">
        <f>ROUND(Computation!$E$4,0)</f>
        <v>19441</v>
      </c>
    </row>
    <row r="54" spans="1:6" x14ac:dyDescent="0.2">
      <c r="A54" t="s">
        <v>68</v>
      </c>
      <c r="B54">
        <f>ROUND(B53*'Static Data'!$B$2,0)</f>
        <v>5221</v>
      </c>
      <c r="C54">
        <f>ROUND(C53*'Static Data'!$B$2,0)</f>
        <v>4702</v>
      </c>
      <c r="D54">
        <f>ROUND(D53*'Static Data'!$B$2,0)</f>
        <v>4204</v>
      </c>
    </row>
    <row r="55" spans="1:6" x14ac:dyDescent="0.2">
      <c r="A55" t="s">
        <v>69</v>
      </c>
      <c r="B55">
        <f>B53-B54</f>
        <v>8891</v>
      </c>
      <c r="C55">
        <f>C53-C54</f>
        <v>8005</v>
      </c>
      <c r="D55">
        <f>D53-D54</f>
        <v>7157</v>
      </c>
    </row>
    <row r="56" spans="1:6" x14ac:dyDescent="0.2">
      <c r="A56" t="s">
        <v>70</v>
      </c>
      <c r="B56">
        <f>ROUND(B54*Computation!$B$25,0)</f>
        <v>1968</v>
      </c>
      <c r="C56">
        <f>ROUND(C54*Computation!$B$25,0)</f>
        <v>1773</v>
      </c>
      <c r="D56">
        <f>ROUND(D54*Computation!$B$25,0)</f>
        <v>1585</v>
      </c>
    </row>
    <row r="57" spans="1:6" x14ac:dyDescent="0.2">
      <c r="A57" t="s">
        <v>71</v>
      </c>
      <c r="B57">
        <f>B54-B56</f>
        <v>3253</v>
      </c>
      <c r="C57">
        <f>C54-C56</f>
        <v>2929</v>
      </c>
      <c r="D57">
        <f>D54-D56</f>
        <v>2619</v>
      </c>
    </row>
    <row r="58" spans="1:6" x14ac:dyDescent="0.2">
      <c r="A58" t="s">
        <v>72</v>
      </c>
      <c r="B58">
        <f>ROUND(B55*Computation!$B$25,0)</f>
        <v>3352</v>
      </c>
      <c r="C58">
        <f>ROUND(C55*Computation!$B$25,0)</f>
        <v>3018</v>
      </c>
      <c r="D58">
        <f>ROUND(D55*Computation!$B$25,0)</f>
        <v>2698</v>
      </c>
    </row>
    <row r="59" spans="1:6" x14ac:dyDescent="0.2">
      <c r="A59" t="s">
        <v>73</v>
      </c>
      <c r="B59">
        <f>B55-B58</f>
        <v>5539</v>
      </c>
      <c r="C59">
        <f>C55-C58</f>
        <v>4987</v>
      </c>
      <c r="D59">
        <f>D55-D58</f>
        <v>4459</v>
      </c>
    </row>
    <row r="60" spans="1:6" x14ac:dyDescent="0.2">
      <c r="A60" t="s">
        <v>74</v>
      </c>
      <c r="B60">
        <f>SUM(B58:B59)</f>
        <v>8891</v>
      </c>
      <c r="C60">
        <f>SUM(C58:C59)</f>
        <v>8005</v>
      </c>
      <c r="D60">
        <f>SUM(D58:D59)</f>
        <v>7157</v>
      </c>
    </row>
    <row r="62" spans="1:6" x14ac:dyDescent="0.2">
      <c r="A62" s="7" t="s">
        <v>76</v>
      </c>
      <c r="B62" s="25">
        <f>Computation!$A$20</f>
        <v>40000</v>
      </c>
      <c r="C62" s="25">
        <f>Computation!$A$21</f>
        <v>50000</v>
      </c>
      <c r="D62" s="25">
        <f>Computation!$A$22</f>
        <v>60000</v>
      </c>
      <c r="E62" s="8" t="s">
        <v>66</v>
      </c>
      <c r="F62" s="5"/>
    </row>
    <row r="63" spans="1:6" x14ac:dyDescent="0.2">
      <c r="A63" t="s">
        <v>67</v>
      </c>
      <c r="B63">
        <f>ROUND(E63*Computation!B20,0)+C63</f>
        <v>7524</v>
      </c>
      <c r="C63">
        <f>ROUND(E63*Computation!B21,0)+D63</f>
        <v>6775</v>
      </c>
      <c r="D63">
        <f>ROUND(E63*Computation!B22,0)</f>
        <v>6057</v>
      </c>
      <c r="E63">
        <f>ROUND(Computation!$E$5,0)</f>
        <v>10365</v>
      </c>
      <c r="F63" s="5"/>
    </row>
    <row r="64" spans="1:6" x14ac:dyDescent="0.2">
      <c r="A64" t="s">
        <v>68</v>
      </c>
      <c r="B64">
        <f>ROUND(B63*'Static Data'!$B$3,0)</f>
        <v>4590</v>
      </c>
      <c r="C64">
        <f>ROUND(C63*'Static Data'!$B$3,0)</f>
        <v>4133</v>
      </c>
      <c r="D64">
        <f>ROUND(D63*'Static Data'!$B$3,0)</f>
        <v>3695</v>
      </c>
      <c r="F64" s="5"/>
    </row>
    <row r="65" spans="1:6" x14ac:dyDescent="0.2">
      <c r="A65" t="s">
        <v>69</v>
      </c>
      <c r="B65">
        <f>B63-B64</f>
        <v>2934</v>
      </c>
      <c r="C65">
        <f>C63-C64</f>
        <v>2642</v>
      </c>
      <c r="D65">
        <f>D63-D64</f>
        <v>2362</v>
      </c>
      <c r="F65" s="5"/>
    </row>
    <row r="66" spans="1:6" x14ac:dyDescent="0.2">
      <c r="A66" t="s">
        <v>70</v>
      </c>
      <c r="B66">
        <f>ROUND(B64*Computation!$B$25,0)</f>
        <v>1731</v>
      </c>
      <c r="C66">
        <f>ROUND(C64*Computation!$B$25,0)</f>
        <v>1558</v>
      </c>
      <c r="D66">
        <f>ROUND(D64*Computation!$B$25,0)</f>
        <v>1393</v>
      </c>
      <c r="F66" s="5"/>
    </row>
    <row r="67" spans="1:6" x14ac:dyDescent="0.2">
      <c r="A67" t="s">
        <v>71</v>
      </c>
      <c r="B67">
        <f>B64-B66</f>
        <v>2859</v>
      </c>
      <c r="C67">
        <f>C64-C66</f>
        <v>2575</v>
      </c>
      <c r="D67">
        <f>D64-D66</f>
        <v>2302</v>
      </c>
      <c r="F67" s="5"/>
    </row>
    <row r="68" spans="1:6" x14ac:dyDescent="0.2">
      <c r="A68" t="s">
        <v>72</v>
      </c>
      <c r="B68">
        <f>ROUND(B65*Computation!$B$25,0)</f>
        <v>1106</v>
      </c>
      <c r="C68">
        <f>ROUND(C65*Computation!$B$25,0)</f>
        <v>996</v>
      </c>
      <c r="D68">
        <f>ROUND(D65*Computation!$B$25,0)</f>
        <v>891</v>
      </c>
    </row>
    <row r="69" spans="1:6" x14ac:dyDescent="0.2">
      <c r="A69" t="s">
        <v>73</v>
      </c>
      <c r="B69">
        <f>B65-B68</f>
        <v>1828</v>
      </c>
      <c r="C69">
        <f>C65-C68</f>
        <v>1646</v>
      </c>
      <c r="D69">
        <f>D65-D68</f>
        <v>1471</v>
      </c>
    </row>
    <row r="70" spans="1:6" x14ac:dyDescent="0.2">
      <c r="A70" t="s">
        <v>74</v>
      </c>
      <c r="B70">
        <f>SUM(B68:B69)</f>
        <v>2934</v>
      </c>
      <c r="C70">
        <f>SUM(C68:C69)</f>
        <v>2642</v>
      </c>
      <c r="D70">
        <f>SUM(D68:D69)</f>
        <v>2362</v>
      </c>
    </row>
    <row r="72" spans="1:6" x14ac:dyDescent="0.2">
      <c r="A72" s="7" t="s">
        <v>77</v>
      </c>
      <c r="B72" s="25">
        <f>Computation!$A$20</f>
        <v>40000</v>
      </c>
      <c r="C72" s="25">
        <f>Computation!$A$21</f>
        <v>50000</v>
      </c>
      <c r="D72" s="25">
        <f>Computation!$A$22</f>
        <v>60000</v>
      </c>
      <c r="E72" s="8" t="s">
        <v>66</v>
      </c>
    </row>
    <row r="73" spans="1:6" x14ac:dyDescent="0.2">
      <c r="A73" t="s">
        <v>67</v>
      </c>
      <c r="B73">
        <f>ROUND(E73*Computation!B20,0)+C73</f>
        <v>5244</v>
      </c>
      <c r="C73">
        <f>ROUND(E73*Computation!B21,0)+D73</f>
        <v>4722</v>
      </c>
      <c r="D73">
        <f>ROUND(E73*Computation!B22,0)</f>
        <v>4222</v>
      </c>
      <c r="E73">
        <f>ROUND(Computation!$E$6,0)</f>
        <v>7224</v>
      </c>
    </row>
    <row r="74" spans="1:6" x14ac:dyDescent="0.2">
      <c r="A74" t="s">
        <v>68</v>
      </c>
      <c r="B74">
        <f>ROUND(B73*'Static Data'!$B$4,0)</f>
        <v>3671</v>
      </c>
      <c r="C74">
        <f>ROUND(C73*'Static Data'!$B$4,0)</f>
        <v>3305</v>
      </c>
      <c r="D74">
        <f>ROUND(D73*'Static Data'!$B$4,0)</f>
        <v>2955</v>
      </c>
    </row>
    <row r="75" spans="1:6" x14ac:dyDescent="0.2">
      <c r="A75" t="s">
        <v>69</v>
      </c>
      <c r="B75">
        <f>B73-B74</f>
        <v>1573</v>
      </c>
      <c r="C75">
        <f>C73-C74</f>
        <v>1417</v>
      </c>
      <c r="D75">
        <f>D73-D74</f>
        <v>1267</v>
      </c>
    </row>
    <row r="76" spans="1:6" x14ac:dyDescent="0.2">
      <c r="A76" t="s">
        <v>70</v>
      </c>
      <c r="B76">
        <f>ROUND(B74*Computation!$B$25,0)</f>
        <v>1384</v>
      </c>
      <c r="C76">
        <f>ROUND(C74*Computation!$B$25,0)</f>
        <v>1246</v>
      </c>
      <c r="D76">
        <f>ROUND(D74*Computation!$B$25,0)</f>
        <v>1114</v>
      </c>
    </row>
    <row r="77" spans="1:6" x14ac:dyDescent="0.2">
      <c r="A77" t="s">
        <v>71</v>
      </c>
      <c r="B77">
        <f>B74-B76</f>
        <v>2287</v>
      </c>
      <c r="C77">
        <f>C74-C76</f>
        <v>2059</v>
      </c>
      <c r="D77">
        <f>D74-D76</f>
        <v>1841</v>
      </c>
    </row>
    <row r="78" spans="1:6" x14ac:dyDescent="0.2">
      <c r="A78" t="s">
        <v>72</v>
      </c>
      <c r="B78">
        <f>ROUND(B75*Computation!$B$25,0)</f>
        <v>593</v>
      </c>
      <c r="C78">
        <f>ROUND(C75*Computation!$B$25,0)</f>
        <v>534</v>
      </c>
      <c r="D78">
        <f>ROUND(D75*Computation!$B$25,0)</f>
        <v>478</v>
      </c>
    </row>
    <row r="79" spans="1:6" x14ac:dyDescent="0.2">
      <c r="A79" t="s">
        <v>73</v>
      </c>
      <c r="B79">
        <f>B75-B78</f>
        <v>980</v>
      </c>
      <c r="C79">
        <f>C75-C78</f>
        <v>883</v>
      </c>
      <c r="D79">
        <f>D75-D78</f>
        <v>789</v>
      </c>
    </row>
    <row r="80" spans="1:6" x14ac:dyDescent="0.2">
      <c r="A80" t="s">
        <v>74</v>
      </c>
      <c r="B80">
        <f>SUM(B78:B79)</f>
        <v>1573</v>
      </c>
      <c r="C80">
        <f>SUM(C78:C79)</f>
        <v>1417</v>
      </c>
      <c r="D80">
        <f>SUM(D78:D79)</f>
        <v>1267</v>
      </c>
    </row>
    <row r="82" spans="1:5" x14ac:dyDescent="0.2">
      <c r="A82" s="7" t="s">
        <v>78</v>
      </c>
      <c r="B82" s="25">
        <f>Computation!$A$20</f>
        <v>40000</v>
      </c>
      <c r="C82" s="25">
        <f>Computation!$A$21</f>
        <v>50000</v>
      </c>
      <c r="D82" s="25">
        <f>Computation!$A$22</f>
        <v>60000</v>
      </c>
      <c r="E82" s="8" t="s">
        <v>66</v>
      </c>
    </row>
    <row r="83" spans="1:5" x14ac:dyDescent="0.2">
      <c r="A83" t="s">
        <v>67</v>
      </c>
      <c r="B83">
        <f>ROUND(E83*Computation!B20,0)+C83</f>
        <v>4928</v>
      </c>
      <c r="C83">
        <f>ROUND(E83*Computation!B21,0)+D83</f>
        <v>4437</v>
      </c>
      <c r="D83">
        <f>ROUND(E83*Computation!B22,0)</f>
        <v>3967</v>
      </c>
      <c r="E83">
        <f>ROUND(Computation!$E$7,0)</f>
        <v>6788</v>
      </c>
    </row>
    <row r="84" spans="1:5" x14ac:dyDescent="0.2">
      <c r="A84" t="s">
        <v>68</v>
      </c>
      <c r="B84">
        <f>ROUND(B83*'Static Data'!$B$5,0)</f>
        <v>3745</v>
      </c>
      <c r="C84">
        <f>ROUND(C83*'Static Data'!$B$5,0)</f>
        <v>3372</v>
      </c>
      <c r="D84">
        <f>ROUND(D83*'Static Data'!$B$5,0)</f>
        <v>3015</v>
      </c>
    </row>
    <row r="85" spans="1:5" x14ac:dyDescent="0.2">
      <c r="A85" t="s">
        <v>69</v>
      </c>
      <c r="B85">
        <f>B83-B84</f>
        <v>1183</v>
      </c>
      <c r="C85">
        <f>C83-C84</f>
        <v>1065</v>
      </c>
      <c r="D85">
        <f>D83-D84</f>
        <v>952</v>
      </c>
    </row>
    <row r="86" spans="1:5" x14ac:dyDescent="0.2">
      <c r="A86" t="s">
        <v>70</v>
      </c>
      <c r="B86">
        <f>ROUND(B84*Computation!$B$25,0)</f>
        <v>1412</v>
      </c>
      <c r="C86">
        <f>ROUND(C84*Computation!$B$25,0)</f>
        <v>1271</v>
      </c>
      <c r="D86">
        <f>ROUND(D84*Computation!$B$25,0)</f>
        <v>1137</v>
      </c>
    </row>
    <row r="87" spans="1:5" x14ac:dyDescent="0.2">
      <c r="A87" t="s">
        <v>71</v>
      </c>
      <c r="B87">
        <f>B84-B86</f>
        <v>2333</v>
      </c>
      <c r="C87">
        <f>C84-C86</f>
        <v>2101</v>
      </c>
      <c r="D87">
        <f>D84-D86</f>
        <v>1878</v>
      </c>
    </row>
    <row r="88" spans="1:5" x14ac:dyDescent="0.2">
      <c r="A88" t="s">
        <v>72</v>
      </c>
      <c r="B88">
        <f>ROUND(B85*Computation!$B$25,0)</f>
        <v>446</v>
      </c>
      <c r="C88">
        <f>ROUND(C85*Computation!$B$25,0)</f>
        <v>402</v>
      </c>
      <c r="D88">
        <f>ROUND(D85*Computation!$B$25,0)</f>
        <v>359</v>
      </c>
    </row>
    <row r="89" spans="1:5" x14ac:dyDescent="0.2">
      <c r="A89" t="s">
        <v>73</v>
      </c>
      <c r="B89">
        <f>B85-B88</f>
        <v>737</v>
      </c>
      <c r="C89">
        <f>C85-C88</f>
        <v>663</v>
      </c>
      <c r="D89">
        <f>D85-D88</f>
        <v>593</v>
      </c>
    </row>
    <row r="90" spans="1:5" x14ac:dyDescent="0.2">
      <c r="A90" t="s">
        <v>74</v>
      </c>
      <c r="B90">
        <f>SUM(B88:B89)</f>
        <v>1183</v>
      </c>
      <c r="C90">
        <f>SUM(C88:C89)</f>
        <v>1065</v>
      </c>
      <c r="D90">
        <f>SUM(D88:D89)</f>
        <v>952</v>
      </c>
    </row>
    <row r="92" spans="1:5" x14ac:dyDescent="0.2">
      <c r="A92" s="7" t="s">
        <v>79</v>
      </c>
      <c r="B92" s="25">
        <f>Computation!$A$20</f>
        <v>40000</v>
      </c>
      <c r="C92" s="25">
        <f>Computation!$A$21</f>
        <v>50000</v>
      </c>
      <c r="D92" s="25">
        <f>Computation!$A$22</f>
        <v>60000</v>
      </c>
      <c r="E92" s="8" t="s">
        <v>66</v>
      </c>
    </row>
    <row r="93" spans="1:5" x14ac:dyDescent="0.2">
      <c r="A93" t="s">
        <v>67</v>
      </c>
      <c r="B93">
        <f>ROUND(E93*Computation!B20,0)+C93</f>
        <v>5405</v>
      </c>
      <c r="C93">
        <f>ROUND(E93*Computation!B21,0)+D93</f>
        <v>4867</v>
      </c>
      <c r="D93">
        <f>ROUND(E93*Computation!B22,0)</f>
        <v>4351</v>
      </c>
      <c r="E93">
        <f>ROUND(Computation!$E$8,0)</f>
        <v>7445</v>
      </c>
    </row>
    <row r="94" spans="1:5" x14ac:dyDescent="0.2">
      <c r="A94" t="s">
        <v>68</v>
      </c>
      <c r="B94">
        <f>ROUND(B93*'Static Data'!$B$6,0)</f>
        <v>4270</v>
      </c>
      <c r="C94">
        <f>ROUND(C93*'Static Data'!$B$6,0)</f>
        <v>3845</v>
      </c>
      <c r="D94">
        <f>ROUND(D93*'Static Data'!$B$6,0)</f>
        <v>3437</v>
      </c>
    </row>
    <row r="95" spans="1:5" x14ac:dyDescent="0.2">
      <c r="A95" t="s">
        <v>69</v>
      </c>
      <c r="B95">
        <f>B93-B94</f>
        <v>1135</v>
      </c>
      <c r="C95">
        <f>C93-C94</f>
        <v>1022</v>
      </c>
      <c r="D95">
        <f>D93-D94</f>
        <v>914</v>
      </c>
    </row>
    <row r="96" spans="1:5" x14ac:dyDescent="0.2">
      <c r="A96" t="s">
        <v>70</v>
      </c>
      <c r="B96">
        <f>ROUND(B94*Computation!$B$25,0)</f>
        <v>1610</v>
      </c>
      <c r="C96">
        <f>ROUND(C94*Computation!$B$25,0)</f>
        <v>1450</v>
      </c>
      <c r="D96">
        <f>ROUND(D94*Computation!$B$25,0)</f>
        <v>1296</v>
      </c>
    </row>
    <row r="97" spans="1:5" x14ac:dyDescent="0.2">
      <c r="A97" t="s">
        <v>71</v>
      </c>
      <c r="B97">
        <f>B94-B96</f>
        <v>2660</v>
      </c>
      <c r="C97">
        <f>C94-C96</f>
        <v>2395</v>
      </c>
      <c r="D97">
        <f>D94-D96</f>
        <v>2141</v>
      </c>
    </row>
    <row r="98" spans="1:5" x14ac:dyDescent="0.2">
      <c r="A98" t="s">
        <v>72</v>
      </c>
      <c r="B98">
        <f>ROUND(B95*Computation!$B$25,0)</f>
        <v>428</v>
      </c>
      <c r="C98">
        <f>ROUND(C95*Computation!$B$25,0)</f>
        <v>385</v>
      </c>
      <c r="D98">
        <f>ROUND(D95*Computation!$B$25,0)</f>
        <v>345</v>
      </c>
    </row>
    <row r="99" spans="1:5" x14ac:dyDescent="0.2">
      <c r="A99" t="s">
        <v>73</v>
      </c>
      <c r="B99">
        <f>B95-B98</f>
        <v>707</v>
      </c>
      <c r="C99">
        <f>C95-C98</f>
        <v>637</v>
      </c>
      <c r="D99">
        <f>D95-D98</f>
        <v>569</v>
      </c>
    </row>
    <row r="100" spans="1:5" x14ac:dyDescent="0.2">
      <c r="A100" t="s">
        <v>74</v>
      </c>
      <c r="B100">
        <f>SUM(B98:B99)</f>
        <v>1135</v>
      </c>
      <c r="C100">
        <f>SUM(C98:C99)</f>
        <v>1022</v>
      </c>
      <c r="D100">
        <f>SUM(D98:D99)</f>
        <v>914</v>
      </c>
    </row>
    <row r="101" spans="1:5" x14ac:dyDescent="0.2">
      <c r="D101" s="1"/>
    </row>
    <row r="102" spans="1:5" s="7" customFormat="1" x14ac:dyDescent="0.2">
      <c r="A102" s="7" t="s">
        <v>80</v>
      </c>
      <c r="B102" s="7" t="s">
        <v>81</v>
      </c>
      <c r="C102" s="7" t="s">
        <v>82</v>
      </c>
      <c r="D102" s="7" t="s">
        <v>83</v>
      </c>
      <c r="E102" s="7" t="s">
        <v>84</v>
      </c>
    </row>
    <row r="103" spans="1:5" x14ac:dyDescent="0.2">
      <c r="A103" t="s">
        <v>17</v>
      </c>
      <c r="B103">
        <f>B50</f>
        <v>2718</v>
      </c>
      <c r="C103" s="12">
        <v>28</v>
      </c>
      <c r="D103" s="1">
        <f>Computation!E12</f>
        <v>1.6823687752355316E-4</v>
      </c>
      <c r="E103">
        <f t="shared" ref="E103:E108" si="1">ROUND(B103*(1+D103),0)</f>
        <v>2718</v>
      </c>
    </row>
    <row r="104" spans="1:5" x14ac:dyDescent="0.2">
      <c r="A104" t="s">
        <v>18</v>
      </c>
      <c r="B104">
        <f>B60</f>
        <v>8891</v>
      </c>
      <c r="C104" s="12">
        <v>0</v>
      </c>
      <c r="D104" s="1">
        <f>Computation!E13</f>
        <v>3.7764799049693133E-2</v>
      </c>
      <c r="E104">
        <f t="shared" si="1"/>
        <v>9227</v>
      </c>
    </row>
    <row r="105" spans="1:5" x14ac:dyDescent="0.2">
      <c r="A105" t="s">
        <v>3</v>
      </c>
      <c r="B105">
        <f>B70</f>
        <v>2934</v>
      </c>
      <c r="C105" s="12">
        <v>0</v>
      </c>
      <c r="D105" s="1">
        <f>Computation!E14</f>
        <v>3.7872458925090502E-2</v>
      </c>
      <c r="E105">
        <f t="shared" si="1"/>
        <v>3045</v>
      </c>
    </row>
    <row r="106" spans="1:5" x14ac:dyDescent="0.2">
      <c r="A106" t="s">
        <v>4</v>
      </c>
      <c r="B106">
        <f>B80</f>
        <v>1573</v>
      </c>
      <c r="C106" s="12">
        <v>0</v>
      </c>
      <c r="D106" s="1">
        <f>Computation!E15</f>
        <v>-2.0483119084616471E-2</v>
      </c>
      <c r="E106">
        <f t="shared" si="1"/>
        <v>1541</v>
      </c>
    </row>
    <row r="107" spans="1:5" x14ac:dyDescent="0.2">
      <c r="A107" t="s">
        <v>5</v>
      </c>
      <c r="B107">
        <f>B90</f>
        <v>1183</v>
      </c>
      <c r="C107" s="12">
        <v>0</v>
      </c>
      <c r="D107" s="1">
        <f>Computation!E16</f>
        <v>-2.0598406254698543E-2</v>
      </c>
      <c r="E107">
        <f t="shared" si="1"/>
        <v>1159</v>
      </c>
    </row>
    <row r="108" spans="1:5" x14ac:dyDescent="0.2">
      <c r="A108" t="s">
        <v>6</v>
      </c>
      <c r="B108">
        <f>B100</f>
        <v>1135</v>
      </c>
      <c r="C108" s="12">
        <v>0</v>
      </c>
      <c r="D108" s="1">
        <f>Computation!E17</f>
        <v>0.12504407098366435</v>
      </c>
      <c r="E108">
        <f t="shared" si="1"/>
        <v>1277</v>
      </c>
    </row>
    <row r="110" spans="1:5" x14ac:dyDescent="0.2">
      <c r="A110" t="s">
        <v>85</v>
      </c>
      <c r="B110" s="11">
        <v>2024</v>
      </c>
    </row>
    <row r="111" spans="1:5" x14ac:dyDescent="0.2">
      <c r="A111" t="s">
        <v>86</v>
      </c>
      <c r="B111" s="12">
        <v>0</v>
      </c>
    </row>
    <row r="112" spans="1:5" x14ac:dyDescent="0.2">
      <c r="A112" t="s">
        <v>87</v>
      </c>
      <c r="B112" s="1">
        <f>AVERAGE(D103:D108)</f>
        <v>2.6628006749442757E-2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tabSelected="1" workbookViewId="0">
      <selection activeCell="A53" sqref="A53"/>
    </sheetView>
  </sheetViews>
  <sheetFormatPr baseColWidth="10" defaultRowHeight="16" x14ac:dyDescent="0.2"/>
  <cols>
    <col min="1" max="1" width="20.5" style="6" customWidth="1"/>
  </cols>
  <sheetData>
    <row r="1" spans="1:2" x14ac:dyDescent="0.2">
      <c r="A1" t="s">
        <v>88</v>
      </c>
      <c r="B1" t="s">
        <v>89</v>
      </c>
    </row>
    <row r="2" spans="1:2" x14ac:dyDescent="0.2">
      <c r="A2" t="s">
        <v>90</v>
      </c>
      <c r="B2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2"/>
  <sheetViews>
    <sheetView workbookViewId="0"/>
  </sheetViews>
  <sheetFormatPr baseColWidth="10" defaultColWidth="8.83203125" defaultRowHeight="16" x14ac:dyDescent="0.2"/>
  <sheetData>
    <row r="1" spans="1:2" x14ac:dyDescent="0.2">
      <c r="A1" t="s">
        <v>31</v>
      </c>
      <c r="B1">
        <v>49364</v>
      </c>
    </row>
    <row r="2" spans="1:2" x14ac:dyDescent="0.2">
      <c r="A2" t="s">
        <v>91</v>
      </c>
      <c r="B2">
        <v>23311</v>
      </c>
    </row>
    <row r="4" spans="1:2" x14ac:dyDescent="0.2">
      <c r="A4" t="s">
        <v>92</v>
      </c>
    </row>
    <row r="5" spans="1:2" x14ac:dyDescent="0.2">
      <c r="A5" t="s">
        <v>93</v>
      </c>
      <c r="B5">
        <v>1.54E-2</v>
      </c>
    </row>
    <row r="6" spans="1:2" x14ac:dyDescent="0.2">
      <c r="A6" t="s">
        <v>94</v>
      </c>
      <c r="B6">
        <v>6.4200000000000004E-3</v>
      </c>
    </row>
    <row r="7" spans="1:2" x14ac:dyDescent="0.2">
      <c r="A7" t="s">
        <v>95</v>
      </c>
      <c r="B7">
        <v>1.047E-2</v>
      </c>
    </row>
    <row r="8" spans="1:2" x14ac:dyDescent="0.2">
      <c r="A8" t="s">
        <v>96</v>
      </c>
      <c r="B8">
        <v>1.6410000000000001E-2</v>
      </c>
    </row>
    <row r="9" spans="1:2" x14ac:dyDescent="0.2">
      <c r="A9" t="s">
        <v>97</v>
      </c>
      <c r="B9">
        <v>1.898E-2</v>
      </c>
    </row>
    <row r="10" spans="1:2" x14ac:dyDescent="0.2">
      <c r="A10" t="s">
        <v>98</v>
      </c>
      <c r="B10">
        <v>1.7299999999999999E-2</v>
      </c>
    </row>
    <row r="11" spans="1:2" x14ac:dyDescent="0.2">
      <c r="A11" t="s">
        <v>99</v>
      </c>
      <c r="B11">
        <v>2.9499999999999998E-2</v>
      </c>
    </row>
    <row r="12" spans="1:2" x14ac:dyDescent="0.2">
      <c r="A12" t="s">
        <v>100</v>
      </c>
      <c r="B12">
        <v>2.0660000000000001E-2</v>
      </c>
    </row>
    <row r="13" spans="1:2" x14ac:dyDescent="0.2">
      <c r="A13" t="s">
        <v>101</v>
      </c>
      <c r="B13">
        <v>5.2040000000000003E-2</v>
      </c>
    </row>
    <row r="14" spans="1:2" x14ac:dyDescent="0.2">
      <c r="A14" t="s">
        <v>102</v>
      </c>
      <c r="B14">
        <v>5.457E-2</v>
      </c>
    </row>
    <row r="15" spans="1:2" x14ac:dyDescent="0.2">
      <c r="A15" t="s">
        <v>103</v>
      </c>
      <c r="B15">
        <v>6.2330000000000003E-2</v>
      </c>
    </row>
    <row r="16" spans="1:2" x14ac:dyDescent="0.2">
      <c r="A16" t="s">
        <v>104</v>
      </c>
      <c r="B16">
        <v>6.7720000000000002E-2</v>
      </c>
    </row>
    <row r="17" spans="1:2" x14ac:dyDescent="0.2">
      <c r="A17" t="s">
        <v>105</v>
      </c>
      <c r="B17">
        <v>9.6610000000000001E-2</v>
      </c>
    </row>
    <row r="18" spans="1:2" x14ac:dyDescent="0.2">
      <c r="A18" t="s">
        <v>106</v>
      </c>
      <c r="B18">
        <v>0.13200000000000001</v>
      </c>
    </row>
    <row r="19" spans="1:2" x14ac:dyDescent="0.2">
      <c r="A19" t="s">
        <v>107</v>
      </c>
      <c r="B19">
        <v>0.17416000000000001</v>
      </c>
    </row>
    <row r="20" spans="1:2" x14ac:dyDescent="0.2">
      <c r="A20" t="s">
        <v>108</v>
      </c>
      <c r="B20">
        <v>7.0330000000000004E-2</v>
      </c>
    </row>
    <row r="21" spans="1:2" x14ac:dyDescent="0.2">
      <c r="A21" t="s">
        <v>109</v>
      </c>
      <c r="B21">
        <v>4.7999999999999996E-3</v>
      </c>
    </row>
    <row r="22" spans="1:2" x14ac:dyDescent="0.2">
      <c r="A22" t="s">
        <v>110</v>
      </c>
      <c r="B22">
        <v>8.4700000000000001E-3</v>
      </c>
    </row>
    <row r="23" spans="1:2" x14ac:dyDescent="0.2">
      <c r="A23" t="s">
        <v>111</v>
      </c>
      <c r="B23">
        <v>5.6299999999999996E-3</v>
      </c>
    </row>
    <row r="24" spans="1:2" x14ac:dyDescent="0.2">
      <c r="A24" t="s">
        <v>112</v>
      </c>
      <c r="B24">
        <v>1.7479999999999999E-2</v>
      </c>
    </row>
    <row r="25" spans="1:2" x14ac:dyDescent="0.2">
      <c r="A25" t="s">
        <v>113</v>
      </c>
      <c r="B25">
        <v>3.0329999999999999E-2</v>
      </c>
    </row>
    <row r="26" spans="1:2" x14ac:dyDescent="0.2">
      <c r="A26" t="s">
        <v>114</v>
      </c>
      <c r="B26">
        <v>3.3910000000000003E-2</v>
      </c>
    </row>
    <row r="27" spans="1:2" x14ac:dyDescent="0.2">
      <c r="A27" t="s">
        <v>115</v>
      </c>
      <c r="B27">
        <v>5.4469999999999998E-2</v>
      </c>
    </row>
    <row r="29" spans="1:2" x14ac:dyDescent="0.2">
      <c r="A29" t="s">
        <v>116</v>
      </c>
    </row>
    <row r="30" spans="1:2" x14ac:dyDescent="0.2">
      <c r="A30" t="s">
        <v>117</v>
      </c>
      <c r="B30">
        <v>0.35777101</v>
      </c>
    </row>
    <row r="31" spans="1:2" x14ac:dyDescent="0.2">
      <c r="A31" t="s">
        <v>118</v>
      </c>
      <c r="B31">
        <v>3.6163180000000003E-2</v>
      </c>
    </row>
    <row r="32" spans="1:2" x14ac:dyDescent="0.2">
      <c r="A32" t="s">
        <v>119</v>
      </c>
      <c r="B32">
        <v>2.62966E-2</v>
      </c>
    </row>
    <row r="33" spans="1:2" x14ac:dyDescent="0.2">
      <c r="A33" t="s">
        <v>120</v>
      </c>
      <c r="B33">
        <v>0.38260907000000011</v>
      </c>
    </row>
    <row r="34" spans="1:2" x14ac:dyDescent="0.2">
      <c r="A34" t="s">
        <v>29</v>
      </c>
      <c r="B34">
        <v>0.19716014000000001</v>
      </c>
    </row>
    <row r="36" spans="1:2" x14ac:dyDescent="0.2">
      <c r="A36" t="s">
        <v>121</v>
      </c>
    </row>
    <row r="37" spans="1:2" x14ac:dyDescent="0.2">
      <c r="A37" t="s">
        <v>122</v>
      </c>
      <c r="B37">
        <v>0.12839</v>
      </c>
    </row>
    <row r="38" spans="1:2" x14ac:dyDescent="0.2">
      <c r="A38" t="s">
        <v>123</v>
      </c>
      <c r="B38">
        <v>0.10428999999999999</v>
      </c>
    </row>
    <row r="39" spans="1:2" x14ac:dyDescent="0.2">
      <c r="A39" t="s">
        <v>124</v>
      </c>
      <c r="B39">
        <v>8.7730000000000002E-2</v>
      </c>
    </row>
    <row r="40" spans="1:2" x14ac:dyDescent="0.2">
      <c r="A40" t="s">
        <v>125</v>
      </c>
      <c r="B40">
        <v>0.11033</v>
      </c>
    </row>
    <row r="41" spans="1:2" x14ac:dyDescent="0.2">
      <c r="A41" t="s">
        <v>126</v>
      </c>
      <c r="B41">
        <v>0.11380999999999999</v>
      </c>
    </row>
    <row r="42" spans="1:2" x14ac:dyDescent="0.2">
      <c r="A42" t="s">
        <v>127</v>
      </c>
      <c r="B42">
        <v>0.11265</v>
      </c>
    </row>
    <row r="43" spans="1:2" x14ac:dyDescent="0.2">
      <c r="A43" t="s">
        <v>128</v>
      </c>
      <c r="B43">
        <v>6.8769999999999998E-2</v>
      </c>
    </row>
    <row r="44" spans="1:2" x14ac:dyDescent="0.2">
      <c r="A44" t="s">
        <v>129</v>
      </c>
      <c r="B44">
        <v>3.9550000000000002E-2</v>
      </c>
    </row>
    <row r="45" spans="1:2" x14ac:dyDescent="0.2">
      <c r="A45" t="s">
        <v>130</v>
      </c>
      <c r="B45">
        <v>3.7879999999999997E-2</v>
      </c>
    </row>
    <row r="46" spans="1:2" x14ac:dyDescent="0.2">
      <c r="A46" t="s">
        <v>131</v>
      </c>
      <c r="B46">
        <v>3.4450000000000001E-2</v>
      </c>
    </row>
    <row r="47" spans="1:2" x14ac:dyDescent="0.2">
      <c r="A47" t="s">
        <v>132</v>
      </c>
      <c r="B47">
        <v>3.2300000000000002E-2</v>
      </c>
    </row>
    <row r="48" spans="1:2" x14ac:dyDescent="0.2">
      <c r="A48" t="s">
        <v>133</v>
      </c>
      <c r="B48">
        <v>2.6599999999999999E-2</v>
      </c>
    </row>
    <row r="49" spans="1:2" x14ac:dyDescent="0.2">
      <c r="A49" t="s">
        <v>134</v>
      </c>
      <c r="B49">
        <v>2.5909999999999999E-2</v>
      </c>
    </row>
    <row r="50" spans="1:2" x14ac:dyDescent="0.2">
      <c r="A50" t="s">
        <v>135</v>
      </c>
      <c r="B50">
        <v>2.0250000000000001E-2</v>
      </c>
    </row>
    <row r="51" spans="1:2" x14ac:dyDescent="0.2">
      <c r="A51" t="s">
        <v>136</v>
      </c>
      <c r="B51">
        <v>2.1149999999999999E-2</v>
      </c>
    </row>
    <row r="52" spans="1:2" x14ac:dyDescent="0.2">
      <c r="A52" t="s">
        <v>137</v>
      </c>
      <c r="B52">
        <v>3.5950000000000003E-2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2"/>
  <sheetViews>
    <sheetView workbookViewId="0"/>
  </sheetViews>
  <sheetFormatPr baseColWidth="10" defaultColWidth="8.83203125" defaultRowHeight="16" x14ac:dyDescent="0.2"/>
  <sheetData>
    <row r="1" spans="1:2" x14ac:dyDescent="0.2">
      <c r="A1" t="s">
        <v>31</v>
      </c>
      <c r="B1">
        <v>13989</v>
      </c>
    </row>
    <row r="2" spans="1:2" x14ac:dyDescent="0.2">
      <c r="A2" t="s">
        <v>91</v>
      </c>
      <c r="B2">
        <v>7529</v>
      </c>
    </row>
    <row r="4" spans="1:2" x14ac:dyDescent="0.2">
      <c r="A4" t="s">
        <v>92</v>
      </c>
    </row>
    <row r="5" spans="1:2" x14ac:dyDescent="0.2">
      <c r="A5" t="s">
        <v>93</v>
      </c>
      <c r="B5">
        <v>4.1180000000000001E-2</v>
      </c>
    </row>
    <row r="6" spans="1:2" x14ac:dyDescent="0.2">
      <c r="A6" t="s">
        <v>94</v>
      </c>
      <c r="B6">
        <v>2.666E-2</v>
      </c>
    </row>
    <row r="7" spans="1:2" x14ac:dyDescent="0.2">
      <c r="A7" t="s">
        <v>95</v>
      </c>
      <c r="B7">
        <v>3.3739999999999999E-2</v>
      </c>
    </row>
    <row r="8" spans="1:2" x14ac:dyDescent="0.2">
      <c r="A8" t="s">
        <v>96</v>
      </c>
      <c r="B8">
        <v>3.1809999999999998E-2</v>
      </c>
    </row>
    <row r="9" spans="1:2" x14ac:dyDescent="0.2">
      <c r="A9" t="s">
        <v>97</v>
      </c>
      <c r="B9">
        <v>2.5229999999999999E-2</v>
      </c>
    </row>
    <row r="10" spans="1:2" x14ac:dyDescent="0.2">
      <c r="A10" t="s">
        <v>98</v>
      </c>
      <c r="B10">
        <v>2.802E-2</v>
      </c>
    </row>
    <row r="11" spans="1:2" x14ac:dyDescent="0.2">
      <c r="A11" t="s">
        <v>99</v>
      </c>
      <c r="B11">
        <v>4.1959999999999997E-2</v>
      </c>
    </row>
    <row r="12" spans="1:2" x14ac:dyDescent="0.2">
      <c r="A12" t="s">
        <v>100</v>
      </c>
      <c r="B12">
        <v>2.445E-2</v>
      </c>
    </row>
    <row r="13" spans="1:2" x14ac:dyDescent="0.2">
      <c r="A13" t="s">
        <v>101</v>
      </c>
      <c r="B13">
        <v>6.1830000000000003E-2</v>
      </c>
    </row>
    <row r="14" spans="1:2" x14ac:dyDescent="0.2">
      <c r="A14" t="s">
        <v>102</v>
      </c>
      <c r="B14">
        <v>5.3259999999999988E-2</v>
      </c>
    </row>
    <row r="15" spans="1:2" x14ac:dyDescent="0.2">
      <c r="A15" t="s">
        <v>103</v>
      </c>
      <c r="B15">
        <v>5.4610000000000013E-2</v>
      </c>
    </row>
    <row r="16" spans="1:2" x14ac:dyDescent="0.2">
      <c r="A16" t="s">
        <v>104</v>
      </c>
      <c r="B16">
        <v>6.855E-2</v>
      </c>
    </row>
    <row r="17" spans="1:2" x14ac:dyDescent="0.2">
      <c r="A17" t="s">
        <v>105</v>
      </c>
      <c r="B17">
        <v>6.9839999999999999E-2</v>
      </c>
    </row>
    <row r="18" spans="1:2" x14ac:dyDescent="0.2">
      <c r="A18" t="s">
        <v>106</v>
      </c>
      <c r="B18">
        <v>0.11852</v>
      </c>
    </row>
    <row r="19" spans="1:2" x14ac:dyDescent="0.2">
      <c r="A19" t="s">
        <v>107</v>
      </c>
      <c r="B19">
        <v>0.1484</v>
      </c>
    </row>
    <row r="20" spans="1:2" x14ac:dyDescent="0.2">
      <c r="A20" t="s">
        <v>108</v>
      </c>
      <c r="B20">
        <v>7.6769999999999991E-2</v>
      </c>
    </row>
    <row r="21" spans="1:2" x14ac:dyDescent="0.2">
      <c r="A21" t="s">
        <v>109</v>
      </c>
      <c r="B21">
        <v>1.2869999999999999E-2</v>
      </c>
    </row>
    <row r="22" spans="1:2" x14ac:dyDescent="0.2">
      <c r="A22" t="s">
        <v>110</v>
      </c>
      <c r="B22">
        <v>1.0149999999999999E-2</v>
      </c>
    </row>
    <row r="23" spans="1:2" x14ac:dyDescent="0.2">
      <c r="A23" t="s">
        <v>111</v>
      </c>
      <c r="B23">
        <v>1.508E-2</v>
      </c>
    </row>
    <row r="24" spans="1:2" x14ac:dyDescent="0.2">
      <c r="A24" t="s">
        <v>112</v>
      </c>
      <c r="B24">
        <v>9.6499999999999989E-3</v>
      </c>
    </row>
    <row r="25" spans="1:2" x14ac:dyDescent="0.2">
      <c r="A25" t="s">
        <v>113</v>
      </c>
      <c r="B25">
        <v>1.201E-2</v>
      </c>
    </row>
    <row r="26" spans="1:2" x14ac:dyDescent="0.2">
      <c r="A26" t="s">
        <v>114</v>
      </c>
      <c r="B26">
        <v>1.294E-2</v>
      </c>
    </row>
    <row r="27" spans="1:2" x14ac:dyDescent="0.2">
      <c r="A27" t="s">
        <v>115</v>
      </c>
      <c r="B27">
        <v>2.2450000000000001E-2</v>
      </c>
    </row>
    <row r="29" spans="1:2" x14ac:dyDescent="0.2">
      <c r="A29" t="s">
        <v>116</v>
      </c>
    </row>
    <row r="30" spans="1:2" x14ac:dyDescent="0.2">
      <c r="A30" t="s">
        <v>117</v>
      </c>
      <c r="B30">
        <v>0.17930668</v>
      </c>
    </row>
    <row r="31" spans="1:2" x14ac:dyDescent="0.2">
      <c r="A31" t="s">
        <v>118</v>
      </c>
      <c r="B31">
        <v>2.4704480000000001E-2</v>
      </c>
    </row>
    <row r="32" spans="1:2" x14ac:dyDescent="0.2">
      <c r="A32" t="s">
        <v>119</v>
      </c>
      <c r="B32">
        <v>2.0587060000000001E-2</v>
      </c>
    </row>
    <row r="33" spans="1:2" x14ac:dyDescent="0.2">
      <c r="A33" t="s">
        <v>120</v>
      </c>
      <c r="B33">
        <v>0.65493425000000005</v>
      </c>
    </row>
    <row r="34" spans="1:2" x14ac:dyDescent="0.2">
      <c r="A34" t="s">
        <v>29</v>
      </c>
      <c r="B34">
        <v>0.12046753</v>
      </c>
    </row>
    <row r="36" spans="1:2" x14ac:dyDescent="0.2">
      <c r="A36" t="s">
        <v>121</v>
      </c>
    </row>
    <row r="37" spans="1:2" x14ac:dyDescent="0.2">
      <c r="A37" t="s">
        <v>122</v>
      </c>
      <c r="B37">
        <v>6.1500000000000013E-2</v>
      </c>
    </row>
    <row r="38" spans="1:2" x14ac:dyDescent="0.2">
      <c r="A38" t="s">
        <v>123</v>
      </c>
      <c r="B38">
        <v>3.44E-2</v>
      </c>
    </row>
    <row r="39" spans="1:2" x14ac:dyDescent="0.2">
      <c r="A39" t="s">
        <v>124</v>
      </c>
      <c r="B39">
        <v>4.104E-2</v>
      </c>
    </row>
    <row r="40" spans="1:2" x14ac:dyDescent="0.2">
      <c r="A40" t="s">
        <v>125</v>
      </c>
      <c r="B40">
        <v>5.1929999999999997E-2</v>
      </c>
    </row>
    <row r="41" spans="1:2" x14ac:dyDescent="0.2">
      <c r="A41" t="s">
        <v>126</v>
      </c>
      <c r="B41">
        <v>7.6769999999999991E-2</v>
      </c>
    </row>
    <row r="42" spans="1:2" x14ac:dyDescent="0.2">
      <c r="A42" t="s">
        <v>127</v>
      </c>
      <c r="B42">
        <v>6.1890000000000001E-2</v>
      </c>
    </row>
    <row r="43" spans="1:2" x14ac:dyDescent="0.2">
      <c r="A43" t="s">
        <v>128</v>
      </c>
      <c r="B43">
        <v>7.0929999999999993E-2</v>
      </c>
    </row>
    <row r="44" spans="1:2" x14ac:dyDescent="0.2">
      <c r="A44" t="s">
        <v>129</v>
      </c>
      <c r="B44">
        <v>2.6030000000000001E-2</v>
      </c>
    </row>
    <row r="45" spans="1:2" x14ac:dyDescent="0.2">
      <c r="A45" t="s">
        <v>130</v>
      </c>
      <c r="B45">
        <v>2.802E-2</v>
      </c>
    </row>
    <row r="46" spans="1:2" x14ac:dyDescent="0.2">
      <c r="A46" t="s">
        <v>131</v>
      </c>
      <c r="B46">
        <v>3.6260000000000001E-2</v>
      </c>
    </row>
    <row r="47" spans="1:2" x14ac:dyDescent="0.2">
      <c r="A47" t="s">
        <v>132</v>
      </c>
      <c r="B47">
        <v>5.6849999999999998E-2</v>
      </c>
    </row>
    <row r="48" spans="1:2" x14ac:dyDescent="0.2">
      <c r="A48" t="s">
        <v>133</v>
      </c>
      <c r="B48">
        <v>5.5919999999999997E-2</v>
      </c>
    </row>
    <row r="49" spans="1:2" x14ac:dyDescent="0.2">
      <c r="A49" t="s">
        <v>134</v>
      </c>
      <c r="B49">
        <v>6.9330000000000003E-2</v>
      </c>
    </row>
    <row r="50" spans="1:2" x14ac:dyDescent="0.2">
      <c r="A50" t="s">
        <v>135</v>
      </c>
      <c r="B50">
        <v>6.123E-2</v>
      </c>
    </row>
    <row r="51" spans="1:2" x14ac:dyDescent="0.2">
      <c r="A51" t="s">
        <v>136</v>
      </c>
      <c r="B51">
        <v>8.6999999999999994E-2</v>
      </c>
    </row>
    <row r="52" spans="1:2" x14ac:dyDescent="0.2">
      <c r="A52" t="s">
        <v>137</v>
      </c>
      <c r="B52">
        <v>0.18090000000000001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Static Data</vt:lpstr>
      <vt:lpstr>Computation</vt:lpstr>
      <vt:lpstr>Output</vt:lpstr>
      <vt:lpstr>VERSION</vt:lpstr>
      <vt:lpstr>Zip Data 98103</vt:lpstr>
      <vt:lpstr>Zip Data 98104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2019-03-04T19:51:48Z</dcterms:created>
  <dcterms:modified xsi:type="dcterms:W3CDTF">2019-05-01T18:23:27Z</dcterms:modified>
</cp:coreProperties>
</file>