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AllCPU-AllOS\zcadelectrotech\data\preload\xlsxtemplates\modelinxlsx\"/>
    </mc:Choice>
  </mc:AlternateContent>
  <xr:revisionPtr revIDLastSave="0" documentId="13_ncr:1_{E79C3AE3-880E-4DA2-B3ED-B5F22F99F67F}" xr6:coauthVersionLast="45" xr6:coauthVersionMax="45" xr10:uidLastSave="{00000000-0000-0000-0000-000000000000}"/>
  <bookViews>
    <workbookView xWindow="4620" yWindow="1650" windowWidth="28125" windowHeight="18855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CALC" sheetId="2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  <sheet name="&lt;zallcab&gt;EXPORT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M28" i="20" l="1"/>
  <c r="BU28" i="20"/>
  <c r="BC5" i="4" l="1"/>
  <c r="BD5" i="4"/>
  <c r="BE5" i="4"/>
  <c r="D20" i="13" l="1"/>
  <c r="P20" i="13" s="1"/>
  <c r="R20" i="13" s="1"/>
  <c r="D19" i="13"/>
  <c r="P19" i="13" s="1"/>
  <c r="R19" i="13" s="1"/>
  <c r="D18" i="13"/>
  <c r="P18" i="13" s="1"/>
  <c r="R18" i="13" s="1"/>
  <c r="D17" i="13"/>
  <c r="P17" i="13" s="1"/>
  <c r="R17" i="13" s="1"/>
  <c r="D16" i="13"/>
  <c r="P16" i="13" s="1"/>
  <c r="R16" i="13" s="1"/>
  <c r="D15" i="13"/>
  <c r="P15" i="13" s="1"/>
  <c r="R15" i="13" s="1"/>
  <c r="D14" i="13"/>
  <c r="P14" i="13" s="1"/>
  <c r="R14" i="13" s="1"/>
  <c r="R13" i="13"/>
  <c r="P13" i="13"/>
  <c r="L13" i="13"/>
  <c r="N13" i="13" s="1"/>
  <c r="J13" i="13"/>
  <c r="H13" i="13"/>
  <c r="F13" i="13"/>
  <c r="F18" i="13" l="1"/>
  <c r="F20" i="13"/>
  <c r="F19" i="13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F16" i="13"/>
  <c r="F15" i="13"/>
  <c r="L14" i="13"/>
  <c r="N14" i="13" s="1"/>
  <c r="L15" i="13"/>
  <c r="N15" i="13" s="1"/>
  <c r="L16" i="13"/>
  <c r="N16" i="13" s="1"/>
  <c r="L17" i="13"/>
  <c r="N17" i="13" s="1"/>
  <c r="L18" i="13"/>
  <c r="N18" i="13" s="1"/>
  <c r="L19" i="13"/>
  <c r="N19" i="13" s="1"/>
  <c r="L20" i="13"/>
  <c r="N20" i="13" s="1"/>
  <c r="F14" i="13"/>
  <c r="F17" i="13"/>
  <c r="BE11" i="11"/>
  <c r="BD11" i="11"/>
  <c r="AV11" i="11" l="1"/>
  <c r="AU11" i="11"/>
  <c r="B24" i="20" l="1"/>
  <c r="C24" i="20"/>
  <c r="D24" i="20"/>
  <c r="E24" i="20"/>
  <c r="F24" i="20"/>
  <c r="G24" i="20"/>
  <c r="H24" i="20"/>
  <c r="I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HC28" i="20"/>
  <c r="O6" i="25" l="1"/>
  <c r="O7" i="25"/>
  <c r="P7" i="25"/>
  <c r="D3" i="25"/>
  <c r="P4" i="25"/>
  <c r="H7" i="25"/>
  <c r="G7" i="25"/>
  <c r="AB7" i="24"/>
  <c r="Q7" i="25" l="1"/>
  <c r="Q4" i="25"/>
  <c r="AW11" i="11" l="1"/>
  <c r="AT11" i="11"/>
  <c r="AS11" i="11"/>
  <c r="AR11" i="11"/>
  <c r="B1" i="18"/>
  <c r="IJ28" i="20" l="1"/>
  <c r="II28" i="20"/>
  <c r="HZ28" i="20"/>
  <c r="HY28" i="20"/>
  <c r="FV27" i="20"/>
  <c r="FU27" i="20"/>
  <c r="FV26" i="20"/>
  <c r="FU26" i="20"/>
  <c r="FX26" i="20"/>
  <c r="FW26" i="20"/>
  <c r="FX28" i="20"/>
  <c r="FW28" i="20"/>
  <c r="HN28" i="20"/>
  <c r="DB28" i="20" l="1"/>
  <c r="CZ28" i="20"/>
  <c r="CY28" i="20"/>
  <c r="DS28" i="20" l="1"/>
  <c r="DA28" i="20"/>
  <c r="DD28" i="20"/>
  <c r="HE28" i="20" s="1"/>
  <c r="HG28" i="20" s="1"/>
  <c r="HR28" i="20"/>
  <c r="HS28" i="20"/>
  <c r="HP28" i="20"/>
  <c r="HQ28" i="20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X5" i="20"/>
  <c r="J6" i="22"/>
  <c r="BC5" i="20" s="1"/>
  <c r="BD5" i="20" s="1"/>
  <c r="G6" i="22"/>
  <c r="AZ5" i="20" s="1"/>
  <c r="H6" i="22"/>
  <c r="BA5" i="20" s="1"/>
  <c r="F6" i="22"/>
  <c r="BF11" i="11"/>
  <c r="BE7" i="11"/>
  <c r="BF7" i="11"/>
  <c r="BG7" i="11"/>
  <c r="U16" i="20" l="1"/>
  <c r="AY7" i="11" l="1"/>
  <c r="AV7" i="11"/>
  <c r="AW7" i="11"/>
  <c r="AX7" i="11"/>
  <c r="BK11" i="11"/>
  <c r="AG7" i="11"/>
  <c r="AH7" i="11"/>
  <c r="AI7" i="11"/>
  <c r="AX11" i="11" l="1"/>
  <c r="CT28" i="20" s="1"/>
  <c r="BG11" i="11"/>
  <c r="CX28" i="20" s="1"/>
  <c r="DK28" i="20" l="1"/>
  <c r="DH28" i="20"/>
  <c r="DN28" i="20" s="1"/>
  <c r="DU28" i="20"/>
  <c r="DT28" i="20"/>
  <c r="AN28" i="20"/>
  <c r="DF28" i="20"/>
  <c r="DP28" i="20"/>
  <c r="DO28" i="20"/>
  <c r="N28" i="20"/>
  <c r="M28" i="20"/>
  <c r="L28" i="20"/>
  <c r="DC28" i="20"/>
  <c r="EW28" i="20" s="1"/>
  <c r="I6" i="22"/>
  <c r="BB5" i="20" s="1"/>
  <c r="CU28" i="20"/>
  <c r="FA28" i="20" s="1"/>
  <c r="AY11" i="11"/>
  <c r="CW28" i="20" s="1"/>
  <c r="BC28" i="20" l="1"/>
  <c r="AY28" i="20"/>
  <c r="J28" i="20" s="1"/>
  <c r="FQ28" i="20"/>
  <c r="FR28" i="20"/>
  <c r="DJ28" i="20"/>
  <c r="EU28" i="20" s="1"/>
  <c r="DM28" i="20"/>
  <c r="DI28" i="20"/>
  <c r="EX28" i="20"/>
  <c r="EE28" i="20"/>
  <c r="EQ28" i="20"/>
  <c r="ER28" i="20" s="1"/>
  <c r="EN28" i="20"/>
  <c r="EC28" i="20"/>
  <c r="EB28" i="20" s="1"/>
  <c r="DW28" i="20"/>
  <c r="DV28" i="20"/>
  <c r="DR28" i="20"/>
  <c r="DQ28" i="20"/>
  <c r="FP28" i="20"/>
  <c r="FU28" i="20" s="1"/>
  <c r="D28" i="20"/>
  <c r="AJ28" i="20"/>
  <c r="AI28" i="20"/>
  <c r="AK28" i="20"/>
  <c r="ET28" i="20" l="1"/>
  <c r="FI28" i="20"/>
  <c r="EF28" i="20"/>
  <c r="EL28" i="20"/>
  <c r="EO28" i="20"/>
  <c r="FN28" i="20"/>
  <c r="EY28" i="20"/>
  <c r="FE28" i="20"/>
  <c r="FF28" i="20" s="1"/>
  <c r="EG28" i="20"/>
  <c r="EH28" i="20"/>
  <c r="E28" i="20"/>
  <c r="G28" i="20"/>
  <c r="CB28" i="20" s="1"/>
  <c r="HO28" i="20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EI28" i="20" l="1"/>
  <c r="EJ28" i="20" s="1"/>
  <c r="EZ28" i="20"/>
  <c r="FG28" i="20"/>
  <c r="FH28" i="20"/>
  <c r="CP28" i="20"/>
  <c r="CE28" i="20"/>
  <c r="CL28" i="20"/>
  <c r="CH28" i="20"/>
  <c r="B4" i="24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EM28" i="20" l="1"/>
  <c r="ES28" i="20" s="1"/>
  <c r="EV28" i="20" s="1"/>
  <c r="EK28" i="20"/>
  <c r="FJ28" i="20"/>
  <c r="GQ28" i="20" s="1"/>
  <c r="GM28" i="20"/>
  <c r="FL28" i="20"/>
  <c r="H7" i="24"/>
  <c r="G7" i="24"/>
  <c r="J7" i="24" s="1"/>
  <c r="F7" i="25" s="1"/>
  <c r="F7" i="24"/>
  <c r="E7" i="24"/>
  <c r="D7" i="24"/>
  <c r="AA7" i="24" s="1"/>
  <c r="C7" i="24"/>
  <c r="M7" i="24" l="1"/>
  <c r="X7" i="24"/>
  <c r="K7" i="24"/>
  <c r="Q7" i="24" s="1"/>
  <c r="V7" i="24" s="1"/>
  <c r="P7" i="24"/>
  <c r="L7" i="24"/>
  <c r="W7" i="24" l="1"/>
  <c r="I7" i="25" s="1"/>
  <c r="R7" i="24"/>
  <c r="T7" i="24" s="1"/>
  <c r="D7" i="25" s="1"/>
  <c r="N7" i="24"/>
  <c r="O7" i="24" s="1"/>
  <c r="S7" i="24" l="1"/>
  <c r="C7" i="25" s="1"/>
  <c r="U7" i="24"/>
  <c r="E7" i="25" s="1"/>
  <c r="AA28" i="20"/>
  <c r="T7" i="25" l="1"/>
  <c r="X7" i="25"/>
  <c r="Z7" i="25"/>
  <c r="V7" i="25"/>
  <c r="AF7" i="25"/>
  <c r="AD7" i="25"/>
  <c r="AB7" i="25"/>
  <c r="P28" i="20"/>
  <c r="W28" i="20"/>
  <c r="DL28" i="20" l="1"/>
  <c r="ED28" i="20" s="1"/>
  <c r="EP28" i="20" s="1"/>
  <c r="FD28" i="20" s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Q7" i="11"/>
  <c r="AZ7" i="11"/>
  <c r="BA7" i="11"/>
  <c r="BB7" i="11"/>
  <c r="BC7" i="11"/>
  <c r="BD7" i="11"/>
  <c r="BH7" i="11"/>
  <c r="BI7" i="11"/>
  <c r="BJ7" i="11"/>
  <c r="BP7" i="11"/>
  <c r="A7" i="11"/>
  <c r="AQ11" i="11"/>
  <c r="FK28" i="20" l="1"/>
  <c r="FO28" i="20" s="1"/>
  <c r="GS28" i="20" s="1"/>
  <c r="GO28" i="20"/>
  <c r="GK28" i="20"/>
  <c r="AZ11" i="11"/>
  <c r="BA11" i="11"/>
  <c r="X28" i="20" s="1"/>
  <c r="GU28" i="20" s="1"/>
  <c r="D1" i="20"/>
  <c r="E6" i="22"/>
  <c r="AV5" i="20" s="1"/>
  <c r="D6" i="22"/>
  <c r="AU5" i="20" s="1"/>
  <c r="H5" i="20" s="1"/>
  <c r="DG28" i="20" s="1"/>
  <c r="FM28" i="20" s="1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GI28" i="20" l="1"/>
  <c r="A24" i="20"/>
  <c r="BC11" i="11" l="1"/>
  <c r="AP28" i="20" l="1"/>
  <c r="HK28" i="20" s="1"/>
  <c r="AV28" i="20"/>
  <c r="GC26" i="20"/>
  <c r="GG26" i="20"/>
  <c r="GK26" i="20"/>
  <c r="DE28" i="20"/>
  <c r="HJ28" i="20"/>
  <c r="H14" i="20" l="1"/>
  <c r="GA26" i="20"/>
  <c r="H1" i="20"/>
  <c r="G1" i="20"/>
  <c r="F1" i="20"/>
  <c r="CV28" i="20"/>
  <c r="T28" i="20" l="1"/>
  <c r="R28" i="20"/>
  <c r="GA28" i="20" s="1"/>
  <c r="Q28" i="20"/>
  <c r="AL28" i="20"/>
  <c r="S28" i="20"/>
  <c r="F28" i="20"/>
  <c r="DX28" i="20" s="1"/>
  <c r="DY28" i="20" s="1"/>
  <c r="CC28" i="20" l="1"/>
  <c r="HA28" i="20"/>
  <c r="AC28" i="20"/>
  <c r="GW28" i="20"/>
  <c r="U28" i="20"/>
  <c r="GY28" i="20" s="1"/>
  <c r="V28" i="20"/>
  <c r="AM28" i="20"/>
  <c r="AQ28" i="20"/>
  <c r="AR28" i="20"/>
  <c r="AS28" i="20"/>
  <c r="AT28" i="20"/>
  <c r="AW28" i="20" s="1"/>
  <c r="BD28" i="20"/>
  <c r="BE28" i="20"/>
  <c r="U5" i="20" l="1"/>
  <c r="U6" i="20" s="1"/>
  <c r="GI26" i="20" s="1"/>
  <c r="CN28" i="20"/>
  <c r="CO28" i="20"/>
  <c r="BH28" i="20"/>
  <c r="BG28" i="20"/>
  <c r="BI28" i="20" l="1"/>
  <c r="BK28" i="20" s="1"/>
  <c r="BX28" i="20"/>
  <c r="BT28" i="20"/>
  <c r="BP28" i="20"/>
  <c r="BM28" i="20"/>
  <c r="B4" i="21"/>
  <c r="B1" i="21"/>
  <c r="BW28" i="20" l="1"/>
  <c r="BV28" i="20"/>
  <c r="BI11" i="11"/>
  <c r="BJ11" i="11" s="1"/>
  <c r="BH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J6" i="4" l="1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AF28" i="20" l="1"/>
  <c r="AG28" i="20" l="1"/>
  <c r="AE28" i="20"/>
  <c r="AD28" i="20" s="1"/>
  <c r="CD28" i="20" l="1"/>
  <c r="AX28" i="20"/>
  <c r="GE26" i="20"/>
  <c r="BF28" i="20"/>
  <c r="BB28" i="20"/>
  <c r="CF28" i="20" l="1"/>
  <c r="BL28" i="20"/>
  <c r="BN28" i="20" s="1"/>
  <c r="U15" i="20"/>
  <c r="AU28" i="20"/>
  <c r="AH28" i="20"/>
  <c r="CG28" i="20"/>
  <c r="BO28" i="20"/>
  <c r="K28" i="20" l="1"/>
  <c r="BR28" i="20"/>
  <c r="CA28" i="20" s="1"/>
  <c r="CJ28" i="20"/>
  <c r="CS28" i="20" s="1"/>
  <c r="GM26" i="20"/>
  <c r="U7" i="20"/>
  <c r="E1" i="20"/>
  <c r="AO28" i="20"/>
  <c r="O28" i="20" s="1"/>
  <c r="CR28" i="20"/>
  <c r="BY28" i="20"/>
  <c r="BZ28" i="20"/>
  <c r="CQ28" i="20"/>
  <c r="H28" i="20" l="1"/>
  <c r="IM28" i="20"/>
  <c r="IC28" i="20"/>
  <c r="HI28" i="20"/>
  <c r="I28" i="20" l="1"/>
  <c r="IE28" i="20" s="1"/>
  <c r="IH28" i="20" s="1"/>
  <c r="DZ28" i="20"/>
  <c r="EA28" i="20" s="1"/>
  <c r="GC28" i="20" l="1"/>
  <c r="GG28" i="20" s="1"/>
  <c r="GE28" i="20"/>
  <c r="IF28" i="20"/>
  <c r="IN28" i="20"/>
  <c r="IG28" i="20"/>
  <c r="HU28" i="20"/>
  <c r="HX28" i="20" s="1"/>
  <c r="HW28" i="20" l="1"/>
  <c r="ID28" i="20"/>
  <c r="HV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L26" authorId="1" shapeId="0" xr:uid="{37392862-89E1-44B7-9CBD-B3DC7D6997B2}">
      <text>
        <r>
          <rPr>
            <sz val="9"/>
            <color rgb="FF000000"/>
            <rFont val="Arial"/>
            <family val="2"/>
            <charset val="204"/>
          </rPr>
          <t>Имя или позиция устройства</t>
        </r>
      </text>
    </comment>
    <comment ref="P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S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W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X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Y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Z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AA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B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L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Q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R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S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U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D27" authorId="1" shapeId="0" xr:uid="{E416DBD2-E344-497E-9F0B-50E82F21C6D5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E27" authorId="1" shapeId="0" xr:uid="{59F3D184-6DC8-4A9B-8410-9E6A1AA78B5F}">
      <text>
        <r>
          <rPr>
            <sz val="9"/>
            <color rgb="FF000000"/>
            <rFont val="Arial"/>
            <family val="2"/>
            <charset val="204"/>
          </rPr>
          <t>Объеденение фидеров идет цифарками. Одинаковвые цифры объеденятся под одну полку.
ВНИМАНИЕ! Одинаковые должны быть расположены рядом!!!</t>
        </r>
      </text>
    </comment>
    <comment ref="BL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M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BR27" authorId="0" shapeId="0" xr:uid="{DDF27D3A-A474-486C-BD3B-8577B833618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B27" authorId="1" shapeId="0" xr:uid="{EF0D7F7A-C7E5-479D-B542-36C7B7401AC3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CE27" authorId="0" shapeId="0" xr:uid="{A7D97B19-86EA-4213-B1A2-56C56C1EACB5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J27" authorId="0" shapeId="0" xr:uid="{0DB767A6-0AC3-40BA-87B0-BF7EA677F1C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T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U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V27" authorId="0" shapeId="0" xr:uid="{3863E70B-D5F9-455C-B6C9-2E603AF06E69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W27" authorId="0" shapeId="0" xr:uid="{D9BF2E25-38AA-4177-B50C-259BC4C29CCB}">
      <text>
        <r>
          <rPr>
            <b/>
            <sz val="9"/>
            <color indexed="81"/>
            <rFont val="Tahoma"/>
            <family val="2"/>
            <charset val="204"/>
          </rPr>
          <t>Данная группа относится к щитам управления входящим в ГУ. 1 относится, 0 нет</t>
        </r>
      </text>
    </comment>
    <comment ref="DC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DD27" authorId="1" shapeId="0" xr:uid="{4915570F-EDDE-4702-BAD6-07E9F68AFC7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L27" authorId="1" shapeId="0" xr:uid="{B8E45BA0-0D1D-4249-8C89-163A0B46E088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M27" authorId="1" shapeId="0" xr:uid="{BBDCDC8B-AF51-469F-9B42-05AE1EC42363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S27" authorId="1" shapeId="0" xr:uid="{00877792-13FE-46C8-8757-7982CCBB1C8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FP27" authorId="0" shapeId="0" xr:uid="{283AE732-E604-4415-8076-F2A8F5499270}">
      <text>
        <r>
          <rPr>
            <b/>
            <sz val="9"/>
            <color indexed="81"/>
            <rFont val="Tahoma"/>
            <family val="2"/>
            <charset val="204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<sst xmlns="http://schemas.openxmlformats.org/spreadsheetml/2006/main" count="1109" uniqueCount="632">
  <si>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</si>
  <si>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</si>
  <si>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</si>
  <si>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</si>
  <si>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</si>
  <si>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</si>
  <si>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</si>
  <si>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</si>
  <si>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</si>
  <si>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</si>
  <si>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</si>
  <si>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</si>
  <si>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</si>
  <si>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</si>
  <si>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</si>
  <si>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</si>
  <si>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</si>
  <si>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</si>
  <si>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</si>
  <si>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</si>
  <si>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</si>
  <si>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</si>
  <si>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</si>
  <si>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</si>
  <si>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</si>
  <si>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</si>
  <si>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</si>
  <si>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</si>
  <si>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</si>
  <si>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</si>
  <si>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</si>
  <si>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</si>
  <si>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</si>
  <si>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</si>
  <si>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</si>
  <si>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</si>
  <si>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</si>
  <si>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</si>
  <si>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</si>
  <si>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</si>
  <si>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</si>
  <si>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</si>
  <si>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</si>
  <si>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</si>
  <si>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</si>
  <si>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</si>
  <si>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</si>
  <si>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</si>
  <si>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</si>
  <si>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</si>
  <si>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</si>
  <si>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</si>
  <si>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</si>
  <si>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</si>
  <si>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</si>
  <si>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</si>
  <si>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</si>
  <si>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</si>
  <si>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</si>
  <si>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</si>
  <si>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</si>
  <si>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</si>
  <si>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</si>
  <si>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</si>
  <si>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</si>
  <si>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</si>
  <si>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</si>
  <si>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</si>
  <si>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</si>
  <si>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</si>
  <si>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</si>
  <si>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</si>
  <si>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</si>
  <si>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</si>
  <si>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</si>
  <si>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</si>
  <si>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</si>
  <si>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</si>
  <si>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</si>
  <si>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</si>
  <si>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</si>
  <si>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</si>
  <si>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</si>
  <si>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</si>
  <si>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</si>
  <si>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</si>
  <si>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</si>
  <si>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</si>
  <si>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</si>
  <si>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</si>
  <si>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</si>
  <si>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</si>
  <si>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</si>
  <si>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</si>
  <si>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</si>
  <si>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</si>
  <si>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</si>
  <si>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</si>
  <si>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</si>
  <si>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</si>
  <si>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</si>
  <si>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</si>
  <si>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</si>
  <si>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</si>
  <si>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</si>
  <si>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</si>
  <si>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</si>
  <si>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</si>
  <si>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</si>
  <si>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</si>
  <si>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</si>
  <si>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</si>
  <si>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</si>
  <si>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</si>
  <si>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</si>
  <si>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</si>
  <si>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</si>
  <si>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</si>
  <si>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</si>
  <si>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</si>
  <si>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</si>
  <si>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</si>
  <si>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</si>
  <si>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</si>
  <si>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</si>
  <si>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</si>
  <si>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</si>
  <si>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</si>
  <si>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</si>
  <si>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</si>
  <si>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</si>
  <si>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</si>
  <si>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</si>
  <si>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</si>
  <si>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</si>
  <si>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</si>
  <si>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</si>
  <si>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</si>
  <si>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</si>
  <si>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</si>
  <si>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</si>
  <si>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</si>
  <si>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</si>
  <si>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</si>
  <si>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</si>
  <si>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</si>
  <si>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</si>
  <si>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</si>
  <si>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</si>
  <si>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</si>
  <si>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</si>
  <si>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</si>
  <si>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</si>
  <si>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</si>
  <si>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</si>
  <si>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</si>
  <si>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</si>
  <si>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</si>
  <si>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</si>
  <si>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</si>
  <si>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</si>
  <si>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</si>
  <si>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</si>
  <si>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</si>
  <si>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</si>
  <si>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</si>
  <si>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</si>
  <si>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</si>
  <si>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</si>
  <si>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</si>
  <si>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</si>
  <si>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</si>
  <si>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</si>
  <si>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</si>
  <si>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</si>
  <si>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</si>
  <si>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</si>
  <si>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</si>
  <si>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</si>
  <si>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</si>
  <si>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</si>
  <si>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</si>
  <si>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</si>
  <si>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</si>
  <si>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</si>
  <si>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</si>
  <si>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</si>
  <si>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</si>
  <si>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</si>
  <si>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</si>
  <si>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</si>
  <si>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</si>
  <si>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</si>
  <si>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</si>
  <si>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</si>
  <si>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</si>
  <si>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</si>
  <si>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</si>
  <si>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</si>
  <si>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</si>
  <si>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</si>
  <si>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</si>
  <si>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</si>
  <si>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</si>
  <si>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</si>
  <si>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</si>
  <si>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</si>
  <si>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</si>
  <si>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</si>
  <si>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</si>
  <si>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</si>
  <si>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</si>
  <si>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</si>
  <si>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</si>
  <si>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</si>
  <si>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</si>
  <si>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</si>
  <si>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</si>
  <si>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</si>
  <si>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</si>
  <si>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</si>
  <si>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</si>
  <si>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</si>
  <si>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</si>
  <si>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</si>
  <si>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</si>
  <si>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</si>
  <si>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</si>
  <si>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</si>
  <si>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</si>
  <si>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</si>
  <si>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</si>
  <si>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</si>
  <si>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</si>
  <si>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</si>
  <si>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</si>
  <si>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</si>
  <si>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</si>
  <si>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</si>
  <si>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</si>
  <si>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</si>
  <si>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</si>
  <si>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</si>
  <si>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</si>
  <si>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</si>
  <si>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</si>
  <si>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</si>
  <si>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</si>
  <si>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</si>
  <si>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</si>
  <si>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</si>
  <si>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</si>
  <si>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</si>
  <si>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</si>
  <si>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</si>
  <si>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</si>
  <si>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</si>
  <si>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</si>
  <si>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</si>
  <si>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</si>
  <si>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</si>
  <si>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</si>
  <si>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</si>
  <si>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</si>
  <si>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</si>
  <si>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</si>
  <si>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</si>
  <si>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</si>
  <si>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</si>
  <si>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</si>
  <si>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</si>
  <si>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</si>
  <si>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</si>
  <si>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</si>
  <si>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</si>
  <si>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</si>
  <si>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</si>
  <si>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</si>
  <si>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</si>
  <si>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</si>
  <si>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</si>
  <si>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</si>
  <si>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</si>
  <si>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</si>
  <si>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</si>
  <si>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</si>
  <si>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</si>
  <si>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</si>
  <si>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</si>
  <si>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</si>
  <si>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</si>
  <si>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</si>
  <si>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</si>
  <si>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</si>
  <si>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</si>
  <si>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</si>
  <si>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</si>
  <si>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</si>
  <si>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</si>
  <si>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</si>
  <si>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</si>
  <si>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</si>
  <si>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</si>
  <si>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</si>
  <si>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</si>
  <si>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</si>
  <si>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</si>
  <si>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</si>
  <si>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</si>
  <si>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</si>
  <si>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</si>
  <si>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</si>
  <si>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</si>
  <si>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</si>
  <si>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</si>
  <si>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</si>
  <si>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</si>
  <si>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</si>
  <si>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</si>
  <si>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</si>
  <si>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</si>
  <si>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</si>
  <si>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</si>
  <si>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</si>
  <si>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</si>
  <si>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</si>
  <si>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</si>
  <si>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</si>
  <si>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</si>
  <si>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</si>
  <si>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</si>
  <si>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</si>
  <si>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</si>
  <si>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</si>
  <si>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</si>
  <si>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</si>
  <si>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</si>
  <si>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</si>
  <si>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</si>
  <si>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</si>
  <si>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</si>
  <si>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</si>
  <si>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</si>
  <si>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</si>
  <si>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</si>
  <si>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</si>
  <si>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</si>
  <si>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</si>
  <si>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</si>
  <si>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</si>
  <si>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</si>
  <si>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</si>
  <si>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</si>
  <si>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</si>
  <si>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</si>
  <si>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</si>
  <si>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</si>
  <si>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</si>
  <si>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</si>
  <si>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</si>
  <si>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</si>
  <si>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</si>
  <si>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</si>
  <si>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</si>
  <si>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</si>
  <si>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</si>
  <si>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</si>
  <si>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</si>
  <si>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</si>
  <si>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</si>
  <si>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</si>
  <si>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</si>
  <si>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</si>
  <si>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</si>
  <si>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</si>
  <si>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</si>
  <si>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</si>
  <si>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</si>
  <si>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</si>
  <si>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</si>
  <si>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</si>
  <si>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</si>
  <si>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</si>
  <si>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</si>
  <si>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</si>
  <si>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</si>
  <si>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</si>
  <si>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</si>
  <si>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</si>
  <si>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</si>
  <si>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</si>
  <si>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</si>
  <si>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</si>
  <si>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</si>
  <si>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</si>
  <si>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</si>
  <si>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</si>
  <si>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</si>
  <si>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</si>
  <si>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</si>
  <si>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</si>
  <si>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</si>
  <si>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</si>
  <si>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</si>
  <si>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</si>
  <si>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</si>
  <si>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</si>
  <si>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</si>
  <si>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</si>
  <si>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</si>
  <si>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</si>
  <si>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</si>
  <si>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</si>
  <si>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</si>
  <si>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</si>
  <si>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</si>
  <si>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</si>
  <si>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</si>
  <si>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</si>
  <si>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</si>
  <si>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</si>
  <si>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Вставка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</si>
  <si>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</si>
  <si>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</si>
  <si>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</si>
  <si>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</si>
  <si>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</si>
  <si>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</si>
  <si>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</si>
  <si>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</si>
  <si>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</si>
  <si>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</si>
  <si>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</si>
  <si>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</si>
  <si>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</si>
  <si>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</si>
  <si>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</si>
  <si>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</si>
  <si>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</si>
  <si>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</si>
  <si>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</si>
  <si>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</si>
  <si>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</si>
  <si>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</si>
  <si>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Команды внутри ячейки</t>
  </si>
  <si>
    <t>zdevsettings</t>
  </si>
  <si>
    <t>команда получения и назначения параметров устройств в ZCAD, содержит следуюшие ключи</t>
  </si>
  <si>
    <t>name</t>
  </si>
  <si>
    <t xml:space="preserve"> - имя параметра устройства</t>
  </si>
  <si>
    <t>type</t>
  </si>
  <si>
    <t xml:space="preserve"> - тип значения string, float,integer,boolean </t>
  </si>
  <si>
    <t>zsetformulatocell</t>
  </si>
  <si>
    <t>Команда присваивает ячейки определенную формулу, содержит след ключи</t>
  </si>
  <si>
    <t>toSheet</t>
  </si>
  <si>
    <t xml:space="preserve"> - в какой лист вставляется формула, если не определен ключ значит втавляется в текущий</t>
  </si>
  <si>
    <t>fromSheet</t>
  </si>
  <si>
    <t xml:space="preserve"> - из какого листа идет вставка, но не обязательно(можно и из другого указать, это нужно для связки), если не определен ключ значит указывается текущий лист</t>
  </si>
  <si>
    <t>toCell</t>
  </si>
  <si>
    <t xml:space="preserve"> - адресс ячейки вставки (например А1 С4), если нет значит место вызова</t>
  </si>
  <si>
    <t>fromCell</t>
  </si>
  <si>
    <t xml:space="preserve"> - адресс ячейки из которой принимается как вставка (например А1 С4), если нет значит место вызова</t>
  </si>
  <si>
    <t>formula</t>
  </si>
  <si>
    <t xml:space="preserve"> - формула вставки(формулы на английском SUM, IF), если внутри формулы  указаны toSheet,fromSheet,toCell,fromCell то эти фразы заменяются на значения ключа</t>
  </si>
  <si>
    <t>zsetvaluetocell</t>
  </si>
  <si>
    <t>Команда присваивает ячейки определенное значение, содержит след ключи</t>
  </si>
  <si>
    <t>value</t>
  </si>
  <si>
    <t xml:space="preserve"> - значение вставки, если внутри значения  указаны toSheet,fromSheet,toCell,fromCell то эти фразы заменяются на значения ключа</t>
  </si>
  <si>
    <t>Команды на уровне панелей</t>
  </si>
  <si>
    <t>&lt;bookcalc&gt;</t>
  </si>
  <si>
    <t>&lt;sheetexecspeccode&gt;</t>
  </si>
  <si>
    <t>Это XPS</t>
  </si>
  <si>
    <t>Это XT</t>
  </si>
  <si>
    <t>Это Вкл</t>
  </si>
  <si>
    <t>К кому устр. и групп я подкл.</t>
  </si>
  <si>
    <t>ШАПКА</t>
  </si>
  <si>
    <t>x</t>
  </si>
  <si>
    <t>y</t>
  </si>
  <si>
    <t>scale_x</t>
  </si>
  <si>
    <t>scale_y</t>
  </si>
  <si>
    <t>rotate</t>
  </si>
  <si>
    <t>EL_VL_REPORT1_1</t>
  </si>
  <si>
    <t>DEVICE_EL_VL_REPORT1_2</t>
  </si>
  <si>
    <t>VL_Name</t>
  </si>
  <si>
    <t>VL_Start</t>
  </si>
  <si>
    <t>VL_Finish</t>
  </si>
  <si>
    <t>VL_Track</t>
  </si>
  <si>
    <t>VL_Mark</t>
  </si>
  <si>
    <t>VL_Number</t>
  </si>
  <si>
    <t>VL_Length</t>
  </si>
  <si>
    <t>Кол-во жил + сечение</t>
  </si>
  <si>
    <t>Марка кабеля который приходит со щитов</t>
  </si>
  <si>
    <t>Кол-во жил и сечение кабеля который приходит со щитов</t>
  </si>
  <si>
    <t>Обработанная марка кабеля для кабельного журнала</t>
  </si>
  <si>
    <t>Обработанное кол-во жил и сечение кабеля для кабельного журнала</t>
  </si>
  <si>
    <t>Кол-во и сечение</t>
  </si>
  <si>
    <t>Систем</t>
  </si>
  <si>
    <t>Упр текст ур</t>
  </si>
  <si>
    <t>1-й ур сх.</t>
  </si>
  <si>
    <t>Сгрупп.</t>
  </si>
  <si>
    <t>Ток этой группы</t>
  </si>
  <si>
    <t>Макс.фаза  в групп</t>
  </si>
  <si>
    <t>Принята фаза</t>
  </si>
  <si>
    <t>Ручн. фазу</t>
  </si>
  <si>
    <t>Подбор защиты 1-го уровня</t>
  </si>
  <si>
    <t>Принуд. уст., А</t>
  </si>
  <si>
    <t>Выбор Iном, А</t>
  </si>
  <si>
    <t>Выбор Ir, А</t>
  </si>
  <si>
    <t>2-й ур сх.</t>
  </si>
  <si>
    <t>Селективность</t>
  </si>
  <si>
    <t>АВ</t>
  </si>
  <si>
    <t>АВДТ</t>
  </si>
  <si>
    <t>УЗО</t>
  </si>
  <si>
    <t>ВН</t>
  </si>
  <si>
    <t>УЗДП</t>
  </si>
  <si>
    <t>Подбор 1-го уровня схемы</t>
  </si>
  <si>
    <t>Сист. видим. сгрупп</t>
  </si>
  <si>
    <t>ПРОТОКОЛ</t>
  </si>
  <si>
    <t>Подбор 2-й уровень схемы</t>
  </si>
  <si>
    <t>Ток</t>
  </si>
  <si>
    <t>Расчет уставка по току, А</t>
  </si>
  <si>
    <t>Подкл. к 1 ур схемы</t>
  </si>
  <si>
    <t>С какой строки начат обвод</t>
  </si>
  <si>
    <t>Сколько строк длится обвод</t>
  </si>
  <si>
    <t>VSCHEMACircuitBreaker1</t>
  </si>
  <si>
    <t>VSCHEMACircuitBreaker2</t>
  </si>
  <si>
    <t>Доб. полюс N</t>
  </si>
  <si>
    <t>Общ. кол-во полюсов</t>
  </si>
  <si>
    <t>VEL_SOCKET_1P31IN</t>
  </si>
  <si>
    <t>UUVEL_SOCKET_1P31IN</t>
  </si>
  <si>
    <t>VEL_SOCKET_2P31IN</t>
  </si>
  <si>
    <t>UUVEL_SOCKET_2P31IN</t>
  </si>
  <si>
    <t>В гл.группе есть УУ 1-да, 0-нет</t>
  </si>
  <si>
    <t>Я внутри гл. Группы. 1-да.0-нет</t>
  </si>
  <si>
    <t>Я УУ 1ур подомной есть УУ 2ур. 1-да, 0-нет</t>
  </si>
  <si>
    <t>Я внутр УУ 1-го уровня.1-да.0-нет</t>
  </si>
  <si>
    <t>Комбинации подключения текущего устройтсва, для отрисовки схемы</t>
  </si>
  <si>
    <t>Я УУ 2ур последний. 1-да, 0-нет</t>
  </si>
  <si>
    <t>Подкл. к 2 ур схемы</t>
  </si>
  <si>
    <t>Я внутр УУ 2-го уровня.1-да.0-нет</t>
  </si>
  <si>
    <t>Я УУ 0ур сколько подомной устройств</t>
  </si>
  <si>
    <t>Сколько групп объед. авт. 1-го ур</t>
  </si>
  <si>
    <t>Указ. для схемы какое знач. прин.</t>
  </si>
  <si>
    <t>Я подкл. сразу к  фидеру. 1- да. 0 нет.</t>
  </si>
  <si>
    <t>Я УУ 1ур. 1-да. 0-нет</t>
  </si>
  <si>
    <t>Передо мной есть УУ. 1-да. 0 - нет</t>
  </si>
  <si>
    <t>Передо мной УУ 1-го уровня</t>
  </si>
  <si>
    <t>Передо мной УУ 2-го уровня</t>
  </si>
  <si>
    <t>Передо мной УУ 1-го уровня которое содержит в себе УУ2-го уровня</t>
  </si>
  <si>
    <t>Подкл. к какому фидеру 1 ур УУ</t>
  </si>
  <si>
    <t>С какой строки начат послед соединение внутри группы УУ1-го уровня, при наличии УУ2ур</t>
  </si>
  <si>
    <t>Момент изменение группы внутри УУ1.1-да.0-нет</t>
  </si>
  <si>
    <t>Требуется ли делать обсвод</t>
  </si>
  <si>
    <t>Определяет послед. Соединения внутри фидера УУ1 ур</t>
  </si>
  <si>
    <t>Внутри данной ШУ есть 2-й уровень вообще.1-да.0-нет</t>
  </si>
  <si>
    <t>Требуется ли тянуть послед. соедин. внутри УУ-1го ур. с существующим УУ-2го уровня</t>
  </si>
  <si>
    <t>Подкл. Устр покл к гл группе c УУ</t>
  </si>
  <si>
    <t xml:space="preserve">С какой строки гл групп начат обвод </t>
  </si>
  <si>
    <t>Требуется верхний обвод. 1-да.0-нет</t>
  </si>
  <si>
    <t>Старт обвода главной группы.1-да.0-нет</t>
  </si>
  <si>
    <t>Требуется продолжение обвод главной группы =1 .1-да.0-нет</t>
  </si>
  <si>
    <t>Внутри УУ1ур есть послед соединение</t>
  </si>
  <si>
    <t>Требуется ли тянуть послед соед от УУ 1 ур. 1- да.0 -нет</t>
  </si>
  <si>
    <t>Это подключение от фидера. 1- да.0 -нет</t>
  </si>
  <si>
    <t>Это устр подключено к группе УУ1ур 1-да. 0 нет</t>
  </si>
  <si>
    <t>Я подключаюсь последовательно внутри группы УУ 1ур. 1-да.0-нет</t>
  </si>
  <si>
    <t>VEL_POWER_SHAO1</t>
  </si>
  <si>
    <t>UUVEL_POWER_SHAO1</t>
  </si>
  <si>
    <t>VEL_POWER_HEATER</t>
  </si>
  <si>
    <t>UUVEL_POWER_HEATER</t>
  </si>
  <si>
    <t>VEL_POWER_SHO1</t>
  </si>
  <si>
    <t>UUVEL_POWER_SHO1</t>
  </si>
  <si>
    <t>VEL_SOCKET_3F31IN</t>
  </si>
  <si>
    <t>UUVEL_SOCKET_3F31IN</t>
  </si>
  <si>
    <t>VEL_LIGHT_2x18</t>
  </si>
  <si>
    <t>UUVEL_LIGHT_2x18</t>
  </si>
  <si>
    <t>VEL_POWER_BU</t>
  </si>
  <si>
    <t>UUVEL_POWER_BU</t>
  </si>
  <si>
    <t>Я соеденено последовательно ыо 2-м уровне</t>
  </si>
  <si>
    <t>Я часть последовательного соединения</t>
  </si>
  <si>
    <t>Я фидерное подключение</t>
  </si>
  <si>
    <t>Я подключен внутри УУ</t>
  </si>
  <si>
    <t>Я подключен к УУ передо мной но сам я не УУ</t>
  </si>
  <si>
    <t>Я не УУ и я внутри УУ послед уровня</t>
  </si>
  <si>
    <t>Внутри УУ 1ур есть УУ 2ур. 1-да, 0-нет</t>
  </si>
  <si>
    <t>Внутрии фидера УУ-1го есть УУ-2го уровня</t>
  </si>
  <si>
    <t>Имя и фидер послед. УУ</t>
  </si>
  <si>
    <t>Момент изменения группы послед уровня</t>
  </si>
  <si>
    <t>Требуется обвод группы для подключения</t>
  </si>
  <si>
    <t>Внутри фидера УУ1го уровня есть УУ2го уровня</t>
  </si>
  <si>
    <t>Я подкл к УУ1го ур в котором есть УУ2-го уровня. Я не УУ</t>
  </si>
  <si>
    <t>Выполняется последовательное соединение УУ 1-го уровня</t>
  </si>
  <si>
    <t>Уже происходит последовательное соединение УУ 1-го уровня</t>
  </si>
  <si>
    <t>ALLNEW14</t>
  </si>
  <si>
    <t>КОД ДЛЯ СВЯЗКИ ДАННЫХ</t>
  </si>
  <si>
    <t>Я разрыв</t>
  </si>
  <si>
    <t>Имя разрыва</t>
  </si>
  <si>
    <t>&lt;zdevsettings name=[RiserName] type=[string]&gt;</t>
  </si>
  <si>
    <t>VEL_POWER_ARK</t>
  </si>
  <si>
    <t>UUVEL_POWER_ARK</t>
  </si>
  <si>
    <t>Я могу быть скопирован построчно</t>
  </si>
  <si>
    <t>&lt;zdevsettings name=[ANALYSISEM_exporttoxlsx] type=[boolean]&gt;</t>
  </si>
  <si>
    <t>&lt;zcopyrow targetsheet=[&lt;zalldev&gt;EXPORT] targetcodename=[zalldevimport] keynumcol=[56]&gt;</t>
  </si>
  <si>
    <t>&lt;zcopyrow targetsheet=[&lt;zalldev&gt;EXPORT] targetcodename=[zalldevimport] keynumcol=[55]&gt;</t>
  </si>
  <si>
    <t>VEL_POWER_SHR05</t>
  </si>
  <si>
    <t>UUVEL_POWER_SHR05</t>
  </si>
  <si>
    <t>VEL_POWER_SHAO05</t>
  </si>
  <si>
    <t>UUVEL_POWER_SHAO05</t>
  </si>
  <si>
    <t>VEL_POWER_SHO05</t>
  </si>
  <si>
    <t>UUVEL_POWER_SHO05</t>
  </si>
  <si>
    <t>VEL_LIGHT_YTR</t>
  </si>
  <si>
    <t>UUVEL_LIGHT_YTR</t>
  </si>
  <si>
    <t>ДДТ выбранного кабеля</t>
  </si>
  <si>
    <t>ДДТ КАБЕЛЯ, А</t>
  </si>
  <si>
    <t>УЗДПUGO</t>
  </si>
  <si>
    <t>УЗДПMOVEX</t>
  </si>
  <si>
    <t>УЗДПMOVEY</t>
  </si>
  <si>
    <t>УЗДП+АВ</t>
  </si>
  <si>
    <t>DEVICE_VSCHEMES_AFDD</t>
  </si>
  <si>
    <t>Нужен N полюс или нет</t>
  </si>
  <si>
    <t>N</t>
  </si>
  <si>
    <t>VEL_SOCKET_3P54IN</t>
  </si>
  <si>
    <t>UUVEL_SOCKET_3P54IN</t>
  </si>
  <si>
    <t>VEL_SOCKET_2P54OUT</t>
  </si>
  <si>
    <t>UUVEL_SOCKET_2P54OUT</t>
  </si>
  <si>
    <t>VEL_SOCKET_3P31IN</t>
  </si>
  <si>
    <t>UUVEL_SOCKET_3P31IN</t>
  </si>
  <si>
    <t>VEL_SOCKET_2P54IN</t>
  </si>
  <si>
    <t>UUVEL_SOCKET_2P54IN</t>
  </si>
  <si>
    <t>VEL_SOCKET_1P54IN</t>
  </si>
  <si>
    <t>UUVEL_SOCKET_1P54IN</t>
  </si>
  <si>
    <t>ВА 47-63</t>
  </si>
  <si>
    <t>АВДТ-63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</si>
</sst>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8"/>
      <color rgb="FF0000FF"/>
      <name val="Arial Unicode MS"/>
      <family val="2"/>
      <charset val="204"/>
    </font>
    <font>
      <b/>
      <i/>
      <sz val="11"/>
      <name val="Arial"/>
      <family val="2"/>
      <charset val="204"/>
    </font>
    <font>
      <sz val="11"/>
      <color rgb="FF7030A0"/>
      <name val="Calibri"/>
      <family val="2"/>
      <charset val="204"/>
    </font>
    <font>
      <b/>
      <i/>
      <sz val="6"/>
      <name val="Arial"/>
      <family val="2"/>
      <charset val="204"/>
    </font>
    <font>
      <b/>
      <i/>
      <sz val="6"/>
      <name val="Arial"/>
      <family val="2"/>
      <charset val="204"/>
    </font>
    <font>
      <b/>
      <i/>
      <sz val="8"/>
      <name val="Arial"/>
      <family val="2"/>
      <charset val="204"/>
    </font>
    <font>
      <sz val="11"/>
      <color rgb="FF7030A0"/>
      <name val="Calibri"/>
      <family val="2"/>
      <charset val="204"/>
    </font>
    <font>
      <b/>
      <sz val="8"/>
      <name val="Arial"/>
    </font>
    <font>
      <b/>
      <sz val="11"/>
      <name val="Calibri"/>
    </font>
  </fonts>
  <fills count="6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1CC"/>
        <bgColor rgb="FF000000"/>
      </patternFill>
    </fill>
    <fill>
      <patternFill patternType="solid">
        <fgColor rgb="FFFFE498"/>
        <bgColor rgb="FF000000"/>
      </patternFill>
    </fill>
    <fill>
      <patternFill patternType="solid">
        <fgColor rgb="FFFFD766"/>
        <bgColor rgb="FF000000"/>
      </patternFill>
    </fill>
    <fill>
      <patternFill patternType="solid">
        <fgColor rgb="FFACB8CB"/>
        <bgColor rgb="FF000000"/>
      </patternFill>
    </fill>
    <fill>
      <patternFill patternType="solid">
        <fgColor rgb="FF8395B0"/>
        <bgColor rgb="FF000000"/>
      </patternFill>
    </fill>
    <fill>
      <patternFill patternType="solid">
        <fgColor rgb="FFF5AF82"/>
        <bgColor rgb="FF000000"/>
      </patternFill>
    </fill>
    <fill>
      <patternFill patternType="solid">
        <fgColor rgb="FFC4E1B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8C9AB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A7D18C"/>
        <bgColor rgb="FF000000"/>
      </patternFill>
    </fill>
    <fill>
      <patternFill patternType="solid">
        <fgColor rgb="FFB3C5E8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C45812"/>
        <bgColor rgb="FF000000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39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44" xfId="0" applyFill="1" applyBorder="1" applyAlignment="1">
      <alignment horizontal="left" vertical="center"/>
    </xf>
    <xf numFmtId="0" fontId="0" fillId="22" borderId="44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44" xfId="0" applyFill="1" applyBorder="1" applyAlignment="1">
      <alignment horizontal="center" vertical="center" wrapText="1"/>
    </xf>
    <xf numFmtId="0" fontId="0" fillId="25" borderId="44" xfId="0" applyFill="1" applyBorder="1" applyAlignment="1">
      <alignment horizontal="center" vertical="center" wrapText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0" fillId="30" borderId="44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44" xfId="0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44" xfId="0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28" fillId="22" borderId="46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4" borderId="0" xfId="0" applyFill="1" applyAlignment="1">
      <alignment horizontal="center" vertical="center"/>
    </xf>
    <xf numFmtId="0" fontId="0" fillId="44" borderId="0" xfId="0" applyFill="1"/>
    <xf numFmtId="0" fontId="0" fillId="38" borderId="0" xfId="0" applyFill="1" applyAlignment="1">
      <alignment horizontal="center" vertical="center"/>
    </xf>
    <xf numFmtId="0" fontId="20" fillId="4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8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45" borderId="1" xfId="0" applyFill="1" applyBorder="1" applyAlignment="1">
      <alignment horizontal="center" vertical="center" wrapText="1"/>
    </xf>
    <xf numFmtId="0" fontId="0" fillId="4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9" borderId="1" xfId="0" applyFill="1" applyBorder="1"/>
    <xf numFmtId="0" fontId="0" fillId="7" borderId="1" xfId="0" applyFill="1" applyBorder="1"/>
    <xf numFmtId="0" fontId="0" fillId="46" borderId="1" xfId="0" applyFill="1" applyBorder="1"/>
    <xf numFmtId="0" fontId="0" fillId="19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8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/>
    <xf numFmtId="0" fontId="0" fillId="51" borderId="0" xfId="0" applyFill="1" applyAlignment="1">
      <alignment horizontal="right" vertical="center"/>
    </xf>
    <xf numFmtId="0" fontId="0" fillId="39" borderId="0" xfId="0" applyFill="1"/>
    <xf numFmtId="0" fontId="0" fillId="52" borderId="0" xfId="0" applyFill="1" applyAlignment="1">
      <alignment horizontal="right" vertical="center"/>
    </xf>
    <xf numFmtId="0" fontId="0" fillId="52" borderId="0" xfId="0" applyFill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2" fillId="15" borderId="1" xfId="1" applyFont="1" applyFill="1" applyBorder="1" applyAlignment="1" applyProtection="1">
      <alignment horizontal="center" vertical="center"/>
      <protection hidden="1"/>
    </xf>
    <xf numFmtId="0" fontId="13" fillId="15" borderId="1" xfId="1" applyFont="1" applyFill="1" applyBorder="1" applyAlignment="1" applyProtection="1">
      <alignment horizontal="center" vertical="center"/>
      <protection hidden="1"/>
    </xf>
    <xf numFmtId="0" fontId="10" fillId="57" borderId="1" xfId="1" applyFont="1" applyFill="1" applyBorder="1" applyAlignment="1" applyProtection="1">
      <alignment horizontal="center" vertical="center"/>
      <protection hidden="1"/>
    </xf>
    <xf numFmtId="0" fontId="11" fillId="3" borderId="1" xfId="1" applyFont="1" applyFill="1" applyBorder="1" applyAlignment="1" applyProtection="1">
      <alignment horizontal="center" vertical="center"/>
      <protection hidden="1"/>
    </xf>
    <xf numFmtId="0" fontId="13" fillId="44" borderId="1" xfId="1" applyFont="1" applyFill="1" applyBorder="1" applyAlignment="1" applyProtection="1">
      <alignment horizontal="center" vertical="center"/>
      <protection hidden="1"/>
    </xf>
    <xf numFmtId="2" fontId="10" fillId="14" borderId="1" xfId="1" applyNumberFormat="1" applyFont="1" applyFill="1" applyBorder="1" applyAlignment="1" applyProtection="1">
      <alignment horizontal="center" vertical="center"/>
      <protection hidden="1"/>
    </xf>
    <xf numFmtId="0" fontId="9" fillId="38" borderId="0" xfId="0" applyFont="1" applyFill="1" applyAlignment="1">
      <alignment horizontal="center" vertical="center"/>
    </xf>
    <xf numFmtId="0" fontId="13" fillId="44" borderId="1" xfId="1" applyFont="1" applyFill="1" applyBorder="1" applyAlignment="1" applyProtection="1">
      <alignment horizontal="left" vertical="center"/>
      <protection hidden="1"/>
    </xf>
    <xf numFmtId="0" fontId="13" fillId="44" borderId="1" xfId="1" applyFont="1" applyFill="1" applyBorder="1" applyAlignment="1" applyProtection="1">
      <alignment horizontal="right" vertical="center"/>
      <protection hidden="1"/>
    </xf>
    <xf numFmtId="0" fontId="0" fillId="5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9" borderId="44" xfId="0" applyFill="1" applyBorder="1" applyAlignment="1">
      <alignment horizontal="center" vertical="center"/>
    </xf>
    <xf numFmtId="0" fontId="0" fillId="48" borderId="44" xfId="0" applyFill="1" applyBorder="1" applyAlignment="1">
      <alignment horizontal="center" vertical="center"/>
    </xf>
    <xf numFmtId="0" fontId="14" fillId="29" borderId="1" xfId="0" applyFont="1" applyFill="1" applyBorder="1" applyAlignment="1" applyProtection="1">
      <alignment horizontal="center" vertical="center" wrapText="1"/>
      <protection hidden="1"/>
    </xf>
    <xf numFmtId="0" fontId="20" fillId="5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61" borderId="1" xfId="0" applyFont="1" applyFill="1" applyBorder="1" applyAlignment="1" applyProtection="1">
      <alignment horizontal="center" vertical="center" wrapText="1"/>
      <protection hidden="1"/>
    </xf>
    <xf numFmtId="0" fontId="14" fillId="61" borderId="1" xfId="0" applyFont="1" applyFill="1" applyBorder="1" applyAlignment="1" applyProtection="1">
      <alignment horizontal="center" vertical="center" textRotation="90" wrapText="1"/>
      <protection hidden="1"/>
    </xf>
    <xf numFmtId="0" fontId="20" fillId="5" borderId="1" xfId="0" applyFont="1" applyFill="1" applyBorder="1" applyAlignment="1">
      <alignment horizontal="center" vertical="center"/>
    </xf>
    <xf numFmtId="0" fontId="31" fillId="61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34" borderId="1" xfId="0" applyFont="1" applyFill="1" applyBorder="1" applyAlignment="1" applyProtection="1">
      <alignment horizontal="center" vertical="center" wrapText="1"/>
      <protection hidden="1"/>
    </xf>
    <xf numFmtId="0" fontId="3" fillId="53" borderId="1" xfId="0" applyFont="1" applyFill="1" applyBorder="1" applyAlignment="1" applyProtection="1">
      <alignment horizontal="center" vertical="center" wrapText="1"/>
      <protection hidden="1"/>
    </xf>
    <xf numFmtId="0" fontId="3" fillId="17" borderId="1" xfId="1" applyFont="1" applyFill="1" applyBorder="1" applyAlignment="1" applyProtection="1">
      <alignment horizontal="center" vertical="center" wrapText="1"/>
      <protection hidden="1"/>
    </xf>
    <xf numFmtId="0" fontId="3" fillId="58" borderId="1" xfId="0" applyFont="1" applyFill="1" applyBorder="1" applyAlignment="1" applyProtection="1">
      <alignment horizontal="center" vertical="center" wrapText="1"/>
      <protection hidden="1"/>
    </xf>
    <xf numFmtId="0" fontId="3" fillId="57" borderId="1" xfId="1" applyFont="1" applyFill="1" applyBorder="1" applyAlignment="1" applyProtection="1">
      <alignment horizontal="center" vertical="center" wrapText="1"/>
      <protection hidden="1"/>
    </xf>
    <xf numFmtId="0" fontId="3" fillId="16" borderId="1" xfId="1" applyFont="1" applyFill="1" applyBorder="1" applyAlignment="1" applyProtection="1">
      <alignment horizontal="center" vertical="center" wrapText="1"/>
      <protection hidden="1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4" borderId="1" xfId="0" applyFont="1" applyFill="1" applyBorder="1" applyAlignment="1" applyProtection="1">
      <alignment horizontal="center" vertical="center" wrapText="1"/>
      <protection hidden="1"/>
    </xf>
    <xf numFmtId="0" fontId="21" fillId="33" borderId="1" xfId="0" applyFont="1" applyFill="1" applyBorder="1" applyAlignment="1" applyProtection="1">
      <alignment horizontal="center" vertical="center" wrapText="1"/>
      <protection hidden="1"/>
    </xf>
    <xf numFmtId="0" fontId="14" fillId="33" borderId="1" xfId="0" applyFont="1" applyFill="1" applyBorder="1" applyAlignment="1" applyProtection="1">
      <alignment horizontal="center" vertical="center" wrapText="1"/>
      <protection hidden="1"/>
    </xf>
    <xf numFmtId="0" fontId="14" fillId="39" borderId="1" xfId="0" applyFont="1" applyFill="1" applyBorder="1" applyAlignment="1" applyProtection="1">
      <alignment horizontal="center" vertical="center" wrapText="1"/>
      <protection hidden="1"/>
    </xf>
    <xf numFmtId="0" fontId="14" fillId="59" borderId="1" xfId="0" applyFont="1" applyFill="1" applyBorder="1" applyAlignment="1" applyProtection="1">
      <alignment horizontal="center" vertical="center" wrapText="1"/>
      <protection hidden="1"/>
    </xf>
    <xf numFmtId="0" fontId="34" fillId="65" borderId="1" xfId="0" applyFont="1" applyFill="1" applyBorder="1" applyAlignment="1" applyProtection="1">
      <alignment horizontal="center" vertical="center" wrapText="1"/>
      <protection hidden="1"/>
    </xf>
    <xf numFmtId="0" fontId="14" fillId="60" borderId="1" xfId="0" applyFont="1" applyFill="1" applyBorder="1" applyAlignment="1" applyProtection="1">
      <alignment horizontal="center" vertical="center" wrapText="1"/>
      <protection hidden="1"/>
    </xf>
    <xf numFmtId="0" fontId="14" fillId="27" borderId="1" xfId="0" applyFont="1" applyFill="1" applyBorder="1" applyAlignment="1" applyProtection="1">
      <alignment horizontal="center" vertical="center" wrapText="1"/>
      <protection hidden="1"/>
    </xf>
    <xf numFmtId="0" fontId="14" fillId="51" borderId="1" xfId="0" applyFont="1" applyFill="1" applyBorder="1" applyAlignment="1" applyProtection="1">
      <alignment horizontal="center" vertical="center" wrapText="1"/>
      <protection hidden="1"/>
    </xf>
    <xf numFmtId="0" fontId="32" fillId="51" borderId="1" xfId="0" applyFont="1" applyFill="1" applyBorder="1" applyAlignment="1" applyProtection="1">
      <alignment horizontal="center" vertical="center" wrapText="1"/>
      <protection hidden="1"/>
    </xf>
    <xf numFmtId="0" fontId="32" fillId="63" borderId="1" xfId="0" applyFont="1" applyFill="1" applyBorder="1" applyAlignment="1" applyProtection="1">
      <alignment horizontal="center" vertical="center" wrapText="1"/>
      <protection hidden="1"/>
    </xf>
    <xf numFmtId="0" fontId="14" fillId="47" borderId="1" xfId="0" applyFont="1" applyFill="1" applyBorder="1" applyAlignment="1" applyProtection="1">
      <alignment horizontal="center" vertical="center" wrapText="1"/>
      <protection hidden="1"/>
    </xf>
    <xf numFmtId="0" fontId="33" fillId="63" borderId="1" xfId="0" applyFont="1" applyFill="1" applyBorder="1" applyAlignment="1" applyProtection="1">
      <alignment horizontal="center" vertical="center" wrapText="1"/>
      <protection hidden="1"/>
    </xf>
    <xf numFmtId="0" fontId="14" fillId="62" borderId="1" xfId="0" applyFont="1" applyFill="1" applyBorder="1" applyAlignment="1" applyProtection="1">
      <alignment horizontal="center" vertical="center" wrapText="1"/>
      <protection hidden="1"/>
    </xf>
    <xf numFmtId="0" fontId="34" fillId="45" borderId="1" xfId="0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textRotation="90" wrapText="1"/>
      <protection hidden="1"/>
    </xf>
    <xf numFmtId="0" fontId="33" fillId="66" borderId="1" xfId="0" applyFont="1" applyFill="1" applyBorder="1" applyAlignment="1" applyProtection="1">
      <alignment horizontal="center" vertical="center" wrapText="1"/>
      <protection hidden="1"/>
    </xf>
    <xf numFmtId="0" fontId="34" fillId="64" borderId="1" xfId="0" applyFont="1" applyFill="1" applyBorder="1" applyAlignment="1" applyProtection="1">
      <alignment horizontal="center" vertical="center" textRotation="90" wrapText="1"/>
      <protection hidden="1"/>
    </xf>
    <xf numFmtId="0" fontId="14" fillId="64" borderId="1" xfId="0" applyFont="1" applyFill="1" applyBorder="1" applyAlignment="1" applyProtection="1">
      <alignment horizontal="center" vertical="center" textRotation="90" wrapText="1"/>
      <protection hidden="1"/>
    </xf>
    <xf numFmtId="0" fontId="21" fillId="39" borderId="1" xfId="0" applyFont="1" applyFill="1" applyBorder="1" applyAlignment="1" applyProtection="1">
      <alignment horizontal="center" vertical="center" wrapText="1"/>
      <protection hidden="1"/>
    </xf>
    <xf numFmtId="0" fontId="26" fillId="37" borderId="1" xfId="0" applyFont="1" applyFill="1" applyBorder="1" applyAlignment="1">
      <alignment horizontal="center" vertical="center"/>
    </xf>
    <xf numFmtId="0" fontId="29" fillId="56" borderId="1" xfId="0" applyFont="1" applyFill="1" applyBorder="1" applyAlignment="1" applyProtection="1">
      <alignment horizontal="center" vertical="center"/>
      <protection hidden="1"/>
    </xf>
    <xf numFmtId="0" fontId="19" fillId="11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31" fillId="59" borderId="1" xfId="0" applyFont="1" applyFill="1" applyBorder="1" applyAlignment="1">
      <alignment horizontal="center" vertical="center"/>
    </xf>
    <xf numFmtId="0" fontId="35" fillId="65" borderId="1" xfId="0" applyFont="1" applyFill="1" applyBorder="1" applyAlignment="1">
      <alignment horizontal="center" vertical="center"/>
    </xf>
    <xf numFmtId="0" fontId="31" fillId="60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63" borderId="1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3" fillId="34" borderId="44" xfId="0" applyFont="1" applyFill="1" applyBorder="1" applyAlignment="1" applyProtection="1">
      <alignment horizontal="center" vertical="center" wrapText="1"/>
      <protection hidden="1"/>
    </xf>
    <xf numFmtId="0" fontId="36" fillId="34" borderId="4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37" fillId="4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7" fillId="43" borderId="47" xfId="0" applyFont="1" applyFill="1" applyBorder="1" applyAlignment="1">
      <alignment horizontal="center" vertical="center" wrapText="1"/>
    </xf>
    <xf numFmtId="0" fontId="27" fillId="43" borderId="4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7" fillId="43" borderId="7" xfId="0" applyFont="1" applyFill="1" applyBorder="1" applyAlignment="1">
      <alignment horizontal="center" vertical="center"/>
    </xf>
    <xf numFmtId="0" fontId="27" fillId="43" borderId="41" xfId="0" applyFont="1" applyFill="1" applyBorder="1" applyAlignment="1">
      <alignment horizontal="center" vertical="center"/>
    </xf>
    <xf numFmtId="0" fontId="27" fillId="43" borderId="4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/>
    </xf>
    <xf numFmtId="0" fontId="0" fillId="21" borderId="4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3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0" fillId="19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3" fillId="34" borderId="1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28" fillId="46" borderId="1" xfId="0" applyFont="1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30" fillId="42" borderId="5" xfId="2" applyFont="1" applyFill="1" applyBorder="1" applyAlignment="1" applyProtection="1">
      <alignment horizontal="center" vertical="center" wrapText="1"/>
      <protection hidden="1"/>
    </xf>
    <xf numFmtId="0" fontId="30" fillId="42" borderId="40" xfId="2" applyFont="1" applyFill="1" applyBorder="1" applyAlignment="1" applyProtection="1">
      <alignment horizontal="center" vertical="center" wrapText="1"/>
      <protection hidden="1"/>
    </xf>
    <xf numFmtId="0" fontId="30" fillId="42" borderId="51" xfId="2" applyFont="1" applyFill="1" applyBorder="1" applyAlignment="1" applyProtection="1">
      <alignment horizontal="center" vertical="center" wrapText="1"/>
      <protection hidden="1"/>
    </xf>
    <xf numFmtId="0" fontId="14" fillId="11" borderId="49" xfId="2" applyFont="1" applyFill="1" applyBorder="1" applyAlignment="1" applyProtection="1">
      <alignment horizontal="center" vertical="center" wrapText="1"/>
      <protection hidden="1"/>
    </xf>
    <xf numFmtId="0" fontId="14" fillId="11" borderId="50" xfId="2" applyFont="1" applyFill="1" applyBorder="1" applyAlignment="1" applyProtection="1">
      <alignment horizontal="center" vertical="center" wrapText="1"/>
      <protection hidden="1"/>
    </xf>
    <xf numFmtId="0" fontId="14" fillId="11" borderId="33" xfId="2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8" borderId="42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0" fillId="51" borderId="1" xfId="0" applyFill="1" applyBorder="1" applyAlignment="1">
      <alignment horizontal="center"/>
    </xf>
    <xf numFmtId="0" fontId="3" fillId="4" borderId="27" xfId="1" applyFont="1" applyFill="1" applyBorder="1" applyAlignment="1" applyProtection="1">
      <alignment horizontal="center" vertical="center" textRotation="90" wrapText="1"/>
      <protection hidden="1"/>
    </xf>
    <xf numFmtId="0" fontId="3" fillId="4" borderId="52" xfId="1" applyFont="1" applyFill="1" applyBorder="1" applyAlignment="1" applyProtection="1">
      <alignment horizontal="center" vertical="center" textRotation="90" wrapText="1"/>
      <protection hidden="1"/>
    </xf>
    <xf numFmtId="0" fontId="0" fillId="7" borderId="0" xfId="0" applyFill="1" applyAlignment="1">
      <alignment horizontal="center" vertical="center"/>
    </xf>
    <xf numFmtId="0" fontId="23" fillId="27" borderId="1" xfId="0" applyFont="1" applyFill="1" applyBorder="1" applyAlignment="1" applyProtection="1">
      <alignment horizontal="center" vertical="center" wrapText="1"/>
      <protection hidden="1"/>
    </xf>
    <xf numFmtId="0" fontId="14" fillId="7" borderId="1" xfId="2" applyFont="1" applyFill="1" applyBorder="1" applyAlignment="1" applyProtection="1">
      <alignment horizontal="center" vertical="center" wrapText="1"/>
      <protection hidden="1"/>
    </xf>
    <xf numFmtId="0" fontId="14" fillId="4" borderId="1" xfId="2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55" borderId="1" xfId="0" applyFill="1" applyBorder="1" applyAlignment="1">
      <alignment horizontal="center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wrapText="1"/>
      <protection hidden="1"/>
    </xf>
    <xf numFmtId="0" fontId="0" fillId="21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3">
    <dxf>
      <font>
        <color rgb="FF9C0006"/>
      </font>
      <fill>
        <patternFill patternType="solid">
          <fgColor rgb="FF284392"/>
          <bgColor rgb="FFFFC7CE"/>
        </patternFill>
      </fill>
    </dxf>
    <dxf>
      <font>
        <color rgb="FF9C0006"/>
      </font>
      <fill>
        <patternFill patternType="solid">
          <fgColor rgb="FFC89D7D"/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fgColor rgb="FF68B437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CA61"/>
  <sheetViews>
    <sheetView tabSelected="1" workbookViewId="0">
      <selection activeCell="AE12" sqref="AE12"/>
    </sheetView>
  </sheetViews>
  <sheetFormatPr defaultRowHeight="15" x14ac:dyDescent="0.25"/>
  <cols>
    <col min="1" max="1" width="15" bestFit="1" customWidth="1"/>
    <col min="2" max="2" width="14.7109375" customWidth="1"/>
    <col min="15" max="15" width="14.140625" customWidth="1"/>
    <col min="35" max="35" width="12" bestFit="1" customWidth="1"/>
    <col min="41" max="41" width="10.28515625" bestFit="1" customWidth="1"/>
    <col min="62" max="62" width="22.28515625" customWidth="1"/>
    <col min="69" max="69" width="31.85546875" customWidth="1"/>
  </cols>
  <sheetData>
    <row r="2" spans="1:79" ht="15.75" thickBot="1" x14ac:dyDescent="0.3"/>
    <row r="3" spans="1:79" ht="52.5" customHeight="1" thickBot="1" x14ac:dyDescent="0.3">
      <c r="A3" s="234" t="s">
        <v>4</v>
      </c>
      <c r="B3" s="235"/>
      <c r="C3" s="236"/>
      <c r="F3" s="237" t="s">
        <v>19</v>
      </c>
      <c r="G3" s="238"/>
      <c r="H3" s="239"/>
      <c r="K3" s="232" t="s">
        <v>73</v>
      </c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3"/>
      <c r="AY3" s="233"/>
      <c r="AZ3" s="233"/>
      <c r="BA3" s="233"/>
      <c r="BB3" s="233"/>
      <c r="BC3" s="233"/>
      <c r="BD3" s="233"/>
      <c r="BE3" s="233"/>
      <c r="BF3" s="233"/>
      <c r="BG3" s="233"/>
      <c r="BH3" s="233"/>
      <c r="BI3" s="233"/>
      <c r="BJ3" s="233"/>
      <c r="BK3" s="233"/>
      <c r="BL3" s="233"/>
      <c r="BM3" s="233"/>
      <c r="BN3" s="233"/>
      <c r="BO3" s="233"/>
      <c r="BP3" s="233"/>
      <c r="BQ3" s="233"/>
      <c r="BR3" s="233"/>
      <c r="BS3" s="233"/>
      <c r="BT3" s="233"/>
      <c r="BU3" s="233"/>
      <c r="BV3" s="233"/>
      <c r="BW3" s="233"/>
      <c r="BX3" s="233"/>
      <c r="BY3" s="233"/>
      <c r="BZ3" s="233"/>
      <c r="CA3" s="233"/>
    </row>
    <row r="4" spans="1:79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74</v>
      </c>
      <c r="L4" s="43" t="s">
        <v>75</v>
      </c>
      <c r="M4" s="43" t="s">
        <v>76</v>
      </c>
      <c r="N4" s="43" t="s">
        <v>98</v>
      </c>
      <c r="O4" s="43" t="s">
        <v>99</v>
      </c>
      <c r="P4" s="43" t="s">
        <v>100</v>
      </c>
      <c r="Q4" s="43" t="s">
        <v>134</v>
      </c>
      <c r="R4" s="43" t="s">
        <v>145</v>
      </c>
      <c r="S4" s="43" t="s">
        <v>146</v>
      </c>
      <c r="T4" s="43" t="s">
        <v>147</v>
      </c>
      <c r="U4" s="43" t="s">
        <v>77</v>
      </c>
      <c r="V4" s="43" t="s">
        <v>78</v>
      </c>
      <c r="W4" s="43" t="s">
        <v>79</v>
      </c>
      <c r="X4" s="43" t="s">
        <v>105</v>
      </c>
      <c r="Y4" s="43" t="s">
        <v>106</v>
      </c>
      <c r="Z4" s="43" t="s">
        <v>107</v>
      </c>
      <c r="AA4" s="43" t="s">
        <v>135</v>
      </c>
      <c r="AB4" s="43" t="s">
        <v>152</v>
      </c>
      <c r="AC4" s="43" t="s">
        <v>153</v>
      </c>
      <c r="AD4" s="43" t="s">
        <v>154</v>
      </c>
      <c r="AE4" s="43" t="s">
        <v>80</v>
      </c>
      <c r="AF4" s="43" t="s">
        <v>81</v>
      </c>
      <c r="AG4" s="43" t="s">
        <v>82</v>
      </c>
      <c r="AH4" s="43" t="s">
        <v>102</v>
      </c>
      <c r="AI4" s="43" t="s">
        <v>103</v>
      </c>
      <c r="AJ4" s="43" t="s">
        <v>104</v>
      </c>
      <c r="AK4" s="43" t="s">
        <v>136</v>
      </c>
      <c r="AL4" s="43" t="s">
        <v>148</v>
      </c>
      <c r="AM4" s="43" t="s">
        <v>149</v>
      </c>
      <c r="AN4" s="43" t="s">
        <v>150</v>
      </c>
      <c r="AO4" s="43" t="s">
        <v>83</v>
      </c>
      <c r="AP4" s="43" t="s">
        <v>84</v>
      </c>
      <c r="AQ4" s="43" t="s">
        <v>85</v>
      </c>
      <c r="AR4" s="43" t="s">
        <v>108</v>
      </c>
      <c r="AS4" s="43" t="s">
        <v>109</v>
      </c>
      <c r="AT4" s="43" t="s">
        <v>110</v>
      </c>
      <c r="AU4" s="43" t="s">
        <v>137</v>
      </c>
      <c r="AV4" s="43" t="s">
        <v>86</v>
      </c>
      <c r="AW4" s="43" t="s">
        <v>87</v>
      </c>
      <c r="AX4" s="43" t="s">
        <v>88</v>
      </c>
      <c r="AY4" s="43" t="s">
        <v>111</v>
      </c>
      <c r="AZ4" s="43" t="s">
        <v>112</v>
      </c>
      <c r="BA4" s="43" t="s">
        <v>113</v>
      </c>
      <c r="BB4" s="43" t="s">
        <v>138</v>
      </c>
      <c r="BC4" s="229" t="s">
        <v>613</v>
      </c>
      <c r="BD4" s="229" t="s">
        <v>614</v>
      </c>
      <c r="BE4" s="229" t="s">
        <v>615</v>
      </c>
      <c r="BF4" s="43" t="s">
        <v>89</v>
      </c>
      <c r="BG4" s="43" t="s">
        <v>90</v>
      </c>
      <c r="BH4" s="43" t="s">
        <v>91</v>
      </c>
      <c r="BI4" s="43" t="s">
        <v>114</v>
      </c>
      <c r="BJ4" s="43" t="s">
        <v>115</v>
      </c>
      <c r="BK4" s="43" t="s">
        <v>116</v>
      </c>
      <c r="BL4" s="43" t="s">
        <v>139</v>
      </c>
      <c r="BM4" s="43" t="s">
        <v>92</v>
      </c>
      <c r="BN4" s="43" t="s">
        <v>93</v>
      </c>
      <c r="BO4" s="43" t="s">
        <v>94</v>
      </c>
      <c r="BP4" s="43" t="s">
        <v>117</v>
      </c>
      <c r="BQ4" s="43" t="s">
        <v>118</v>
      </c>
      <c r="BR4" s="43" t="s">
        <v>119</v>
      </c>
      <c r="BS4" s="43" t="s">
        <v>140</v>
      </c>
      <c r="BT4" s="43" t="s">
        <v>95</v>
      </c>
      <c r="BU4" s="43" t="s">
        <v>96</v>
      </c>
      <c r="BV4" s="43" t="s">
        <v>97</v>
      </c>
      <c r="BW4" s="43" t="s">
        <v>120</v>
      </c>
      <c r="BX4" s="43" t="s">
        <v>121</v>
      </c>
      <c r="BY4" s="43" t="s">
        <v>122</v>
      </c>
      <c r="BZ4" s="43" t="s">
        <v>141</v>
      </c>
      <c r="CA4" s="43"/>
    </row>
    <row r="5" spans="1:79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Z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 t="str">
        <f t="shared" si="0"/>
        <v>$BX$6:$BX$100</v>
      </c>
      <c r="BY5" s="46" t="str">
        <f t="shared" si="0"/>
        <v>$BY$6:$BY$100</v>
      </c>
      <c r="BZ5" s="46" t="str">
        <f t="shared" si="0"/>
        <v>$BZ$6:$BZ$100</v>
      </c>
      <c r="CA5" s="46"/>
    </row>
    <row r="6" spans="1:79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101</v>
      </c>
      <c r="O6" s="2"/>
      <c r="P6" s="2"/>
      <c r="Q6" s="2">
        <v>2</v>
      </c>
      <c r="R6" s="49" t="s">
        <v>144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123</v>
      </c>
      <c r="Y6" s="2" t="s">
        <v>72</v>
      </c>
      <c r="Z6" s="2"/>
      <c r="AA6" s="2">
        <v>1</v>
      </c>
      <c r="AB6" s="50" t="s">
        <v>155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127</v>
      </c>
      <c r="AI6" s="226" t="s">
        <v>631</v>
      </c>
      <c r="AJ6" s="2">
        <v>0</v>
      </c>
      <c r="AK6" s="2">
        <v>3</v>
      </c>
      <c r="AL6" s="50" t="s">
        <v>151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128</v>
      </c>
      <c r="AS6" s="2" t="s">
        <v>126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129</v>
      </c>
      <c r="AZ6" s="226" t="s">
        <v>616</v>
      </c>
      <c r="BA6" s="2"/>
      <c r="BB6" s="2">
        <v>5</v>
      </c>
      <c r="BC6" s="226" t="s">
        <v>617</v>
      </c>
      <c r="BD6" s="226">
        <v>12.5</v>
      </c>
      <c r="BE6" s="226">
        <v>150</v>
      </c>
      <c r="BF6" s="2">
        <v>5000</v>
      </c>
      <c r="BG6" s="2">
        <v>0</v>
      </c>
      <c r="BH6" s="2">
        <v>0</v>
      </c>
      <c r="BI6" s="2" t="s">
        <v>130</v>
      </c>
      <c r="BJ6" s="2" t="str">
        <f t="shared" ref="BJ6:BJ36" si="1">"ТТИ-А "&amp;BF6&amp;"/5А 5ВА 0,5S"</f>
        <v>ТТИ-А 5000/5А 5ВА 0,5S</v>
      </c>
      <c r="BL6">
        <v>6</v>
      </c>
      <c r="BM6" s="2">
        <v>100</v>
      </c>
      <c r="BN6" s="2">
        <v>0</v>
      </c>
      <c r="BO6" s="2">
        <v>0</v>
      </c>
      <c r="BP6" s="2" t="s">
        <v>131</v>
      </c>
      <c r="BQ6" s="2" t="s">
        <v>125</v>
      </c>
      <c r="BR6" s="2"/>
      <c r="BS6" s="2">
        <v>7</v>
      </c>
      <c r="BT6" s="2">
        <v>80</v>
      </c>
      <c r="BU6" s="2">
        <v>0</v>
      </c>
      <c r="BV6" s="2">
        <v>0</v>
      </c>
      <c r="BW6" s="2" t="s">
        <v>132</v>
      </c>
      <c r="BX6" s="2" t="s">
        <v>133</v>
      </c>
      <c r="BY6" s="2"/>
      <c r="BZ6" s="2">
        <v>8</v>
      </c>
      <c r="CA6" s="2"/>
    </row>
    <row r="7" spans="1:79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101</v>
      </c>
      <c r="O7" s="2"/>
      <c r="P7" s="2"/>
      <c r="Q7" s="2">
        <v>2</v>
      </c>
      <c r="R7" s="49" t="s">
        <v>144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123</v>
      </c>
      <c r="Y7" s="2" t="s">
        <v>72</v>
      </c>
      <c r="Z7" s="2"/>
      <c r="AA7" s="2">
        <v>1</v>
      </c>
      <c r="AB7" s="50" t="s">
        <v>155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127</v>
      </c>
      <c r="AI7" s="226" t="s">
        <v>631</v>
      </c>
      <c r="AJ7" s="2">
        <v>0</v>
      </c>
      <c r="AK7" s="2">
        <v>3</v>
      </c>
      <c r="AL7" s="50" t="s">
        <v>151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128</v>
      </c>
      <c r="AS7" s="2" t="s">
        <v>126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129</v>
      </c>
      <c r="AZ7" s="226" t="s">
        <v>616</v>
      </c>
      <c r="BA7" s="2"/>
      <c r="BB7" s="2">
        <v>5</v>
      </c>
      <c r="BC7" s="226" t="s">
        <v>617</v>
      </c>
      <c r="BD7" s="226">
        <v>12.5</v>
      </c>
      <c r="BE7" s="226">
        <v>150</v>
      </c>
      <c r="BF7" s="2">
        <v>4000</v>
      </c>
      <c r="BG7" s="2">
        <v>0</v>
      </c>
      <c r="BH7" s="2">
        <v>0</v>
      </c>
      <c r="BI7" s="2" t="s">
        <v>130</v>
      </c>
      <c r="BJ7" s="2" t="str">
        <f t="shared" si="1"/>
        <v>ТТИ-А 4000/5А 5ВА 0,5S</v>
      </c>
      <c r="BK7" s="2"/>
      <c r="BL7">
        <v>6</v>
      </c>
      <c r="BM7" s="2">
        <v>60</v>
      </c>
      <c r="BN7" s="2">
        <v>0</v>
      </c>
      <c r="BO7" s="2">
        <v>0</v>
      </c>
      <c r="BP7" s="2" t="s">
        <v>131</v>
      </c>
      <c r="BQ7" s="2" t="s">
        <v>124</v>
      </c>
      <c r="BR7" s="2"/>
      <c r="BS7" s="2">
        <v>7</v>
      </c>
      <c r="BT7" s="2">
        <v>63</v>
      </c>
      <c r="BU7" s="2">
        <v>0</v>
      </c>
      <c r="BV7" s="2">
        <v>0</v>
      </c>
      <c r="BW7" s="2" t="s">
        <v>132</v>
      </c>
      <c r="BX7" s="2" t="s">
        <v>133</v>
      </c>
      <c r="BY7" s="2"/>
      <c r="BZ7" s="2">
        <v>8</v>
      </c>
      <c r="CA7" s="2"/>
    </row>
    <row r="8" spans="1:79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101</v>
      </c>
      <c r="O8" s="2"/>
      <c r="P8" s="2"/>
      <c r="Q8" s="2">
        <v>2</v>
      </c>
      <c r="R8" s="49" t="s">
        <v>144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123</v>
      </c>
      <c r="Y8" s="2" t="s">
        <v>72</v>
      </c>
      <c r="Z8" s="2"/>
      <c r="AA8" s="2">
        <v>1</v>
      </c>
      <c r="AB8" s="50" t="s">
        <v>155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127</v>
      </c>
      <c r="AI8" s="226" t="s">
        <v>631</v>
      </c>
      <c r="AJ8" s="2">
        <v>0</v>
      </c>
      <c r="AK8" s="2">
        <v>3</v>
      </c>
      <c r="AL8" s="50" t="s">
        <v>151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128</v>
      </c>
      <c r="AS8" s="2" t="s">
        <v>126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129</v>
      </c>
      <c r="AZ8" s="226" t="s">
        <v>616</v>
      </c>
      <c r="BA8" s="2"/>
      <c r="BB8" s="2">
        <v>5</v>
      </c>
      <c r="BC8" s="226" t="s">
        <v>617</v>
      </c>
      <c r="BD8" s="226">
        <v>12.5</v>
      </c>
      <c r="BE8" s="226">
        <v>150</v>
      </c>
      <c r="BF8" s="2">
        <v>3000</v>
      </c>
      <c r="BG8" s="2">
        <v>0</v>
      </c>
      <c r="BH8" s="2">
        <v>0</v>
      </c>
      <c r="BI8" s="2" t="s">
        <v>130</v>
      </c>
      <c r="BJ8" s="2" t="str">
        <f t="shared" si="1"/>
        <v>ТТИ-А 3000/5А 5ВА 0,5S</v>
      </c>
      <c r="BK8" s="2"/>
      <c r="BL8">
        <v>6</v>
      </c>
      <c r="BM8" s="2">
        <v>0</v>
      </c>
      <c r="BN8" s="2">
        <v>0</v>
      </c>
      <c r="BO8" s="2">
        <v>0</v>
      </c>
      <c r="BP8" s="2"/>
      <c r="BQ8" s="2"/>
      <c r="BR8" s="2"/>
      <c r="BS8" s="2"/>
      <c r="BT8" s="2">
        <v>50</v>
      </c>
      <c r="BU8" s="2">
        <v>0</v>
      </c>
      <c r="BV8" s="2">
        <v>0</v>
      </c>
      <c r="BW8" s="2" t="s">
        <v>132</v>
      </c>
      <c r="BX8" s="2" t="s">
        <v>133</v>
      </c>
      <c r="BY8" s="2"/>
      <c r="BZ8" s="2">
        <v>8</v>
      </c>
      <c r="CA8" s="2"/>
    </row>
    <row r="9" spans="1:79" ht="15.75" thickBot="1" x14ac:dyDescent="0.3">
      <c r="A9" s="240" t="s">
        <v>3</v>
      </c>
      <c r="B9" s="241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101</v>
      </c>
      <c r="O9" s="2"/>
      <c r="P9" s="2"/>
      <c r="Q9" s="2">
        <v>2</v>
      </c>
      <c r="R9" s="49" t="s">
        <v>144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123</v>
      </c>
      <c r="Y9" s="2" t="s">
        <v>72</v>
      </c>
      <c r="Z9" s="2"/>
      <c r="AA9" s="2">
        <v>1</v>
      </c>
      <c r="AB9" s="50" t="s">
        <v>155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127</v>
      </c>
      <c r="AI9" s="226" t="s">
        <v>631</v>
      </c>
      <c r="AJ9" s="2">
        <v>0</v>
      </c>
      <c r="AK9" s="2">
        <v>3</v>
      </c>
      <c r="AL9" s="50" t="s">
        <v>151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128</v>
      </c>
      <c r="AS9" s="2" t="s">
        <v>126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129</v>
      </c>
      <c r="AZ9" s="226" t="s">
        <v>616</v>
      </c>
      <c r="BA9" s="2"/>
      <c r="BB9" s="2">
        <v>5</v>
      </c>
      <c r="BC9" s="226" t="s">
        <v>617</v>
      </c>
      <c r="BD9" s="226">
        <v>12.5</v>
      </c>
      <c r="BE9" s="226">
        <v>150</v>
      </c>
      <c r="BF9" s="2">
        <v>2000</v>
      </c>
      <c r="BG9" s="2">
        <v>0</v>
      </c>
      <c r="BH9" s="2">
        <v>0</v>
      </c>
      <c r="BI9" s="2" t="s">
        <v>130</v>
      </c>
      <c r="BJ9" s="2" t="str">
        <f t="shared" si="1"/>
        <v>ТТИ-А 2000/5А 5ВА 0,5S</v>
      </c>
      <c r="BK9" s="2"/>
      <c r="BL9">
        <v>6</v>
      </c>
      <c r="BM9" s="2">
        <v>0</v>
      </c>
      <c r="BN9" s="2">
        <v>0</v>
      </c>
      <c r="BO9" s="2">
        <v>0</v>
      </c>
      <c r="BP9" s="2"/>
      <c r="BQ9" s="2"/>
      <c r="BR9" s="2"/>
      <c r="BS9" s="2"/>
      <c r="BT9" s="2">
        <v>40</v>
      </c>
      <c r="BU9" s="2">
        <v>0</v>
      </c>
      <c r="BV9" s="2">
        <v>0</v>
      </c>
      <c r="BW9" s="2" t="s">
        <v>132</v>
      </c>
      <c r="BX9" s="2" t="s">
        <v>133</v>
      </c>
      <c r="BY9" s="2"/>
      <c r="BZ9" s="2">
        <v>8</v>
      </c>
      <c r="CA9" s="2"/>
    </row>
    <row r="10" spans="1:79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101</v>
      </c>
      <c r="O10" s="2"/>
      <c r="P10" s="2"/>
      <c r="Q10" s="2">
        <v>2</v>
      </c>
      <c r="R10" s="49" t="s">
        <v>144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123</v>
      </c>
      <c r="Y10" s="2" t="s">
        <v>72</v>
      </c>
      <c r="Z10" s="2"/>
      <c r="AA10" s="2">
        <v>1</v>
      </c>
      <c r="AB10" s="50" t="s">
        <v>155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127</v>
      </c>
      <c r="AI10" s="226" t="s">
        <v>631</v>
      </c>
      <c r="AJ10" s="2">
        <v>0</v>
      </c>
      <c r="AK10" s="2">
        <v>3</v>
      </c>
      <c r="AL10" s="50" t="s">
        <v>151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128</v>
      </c>
      <c r="AS10" s="2" t="s">
        <v>126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129</v>
      </c>
      <c r="AZ10" s="226" t="s">
        <v>616</v>
      </c>
      <c r="BA10" s="2"/>
      <c r="BB10" s="2">
        <v>5</v>
      </c>
      <c r="BC10" s="226" t="s">
        <v>617</v>
      </c>
      <c r="BD10" s="226">
        <v>12.5</v>
      </c>
      <c r="BE10" s="226">
        <v>150</v>
      </c>
      <c r="BF10" s="2">
        <v>1600</v>
      </c>
      <c r="BG10" s="2">
        <v>0</v>
      </c>
      <c r="BH10" s="2">
        <v>0</v>
      </c>
      <c r="BI10" s="2" t="s">
        <v>130</v>
      </c>
      <c r="BJ10" s="2" t="str">
        <f t="shared" si="1"/>
        <v>ТТИ-А 1600/5А 5ВА 0,5S</v>
      </c>
      <c r="BK10" s="2"/>
      <c r="BL10">
        <v>6</v>
      </c>
      <c r="BM10" s="2">
        <v>0</v>
      </c>
      <c r="BN10" s="2">
        <v>0</v>
      </c>
      <c r="BO10" s="2">
        <v>0</v>
      </c>
      <c r="BP10" s="2"/>
      <c r="BQ10" s="2"/>
      <c r="BR10" s="2"/>
      <c r="BS10" s="2"/>
      <c r="BT10" s="2">
        <v>32</v>
      </c>
      <c r="BU10" s="2">
        <v>0</v>
      </c>
      <c r="BV10" s="2">
        <v>0</v>
      </c>
      <c r="BW10" s="2" t="s">
        <v>132</v>
      </c>
      <c r="BX10" s="2" t="s">
        <v>133</v>
      </c>
      <c r="BY10" s="2"/>
      <c r="BZ10" s="2">
        <v>8</v>
      </c>
      <c r="CA10" s="2"/>
    </row>
    <row r="11" spans="1:79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101</v>
      </c>
      <c r="O11" s="2"/>
      <c r="P11" s="2"/>
      <c r="Q11" s="2">
        <v>2</v>
      </c>
      <c r="R11" s="49" t="s">
        <v>144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123</v>
      </c>
      <c r="Y11" s="2" t="s">
        <v>72</v>
      </c>
      <c r="Z11" s="2"/>
      <c r="AA11" s="2">
        <v>1</v>
      </c>
      <c r="AB11" s="50" t="s">
        <v>155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127</v>
      </c>
      <c r="AI11" s="226" t="s">
        <v>631</v>
      </c>
      <c r="AJ11" s="2">
        <v>0</v>
      </c>
      <c r="AK11" s="2">
        <v>3</v>
      </c>
      <c r="AL11" s="50" t="s">
        <v>151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128</v>
      </c>
      <c r="AS11" s="2" t="s">
        <v>126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129</v>
      </c>
      <c r="AZ11" s="226" t="s">
        <v>616</v>
      </c>
      <c r="BA11" s="2"/>
      <c r="BB11" s="225">
        <v>5</v>
      </c>
      <c r="BC11" s="226" t="s">
        <v>617</v>
      </c>
      <c r="BD11" s="226">
        <v>12.5</v>
      </c>
      <c r="BE11" s="226">
        <v>150</v>
      </c>
      <c r="BF11" s="2">
        <v>1500</v>
      </c>
      <c r="BG11" s="2">
        <v>0</v>
      </c>
      <c r="BH11" s="2">
        <v>0</v>
      </c>
      <c r="BI11" s="2" t="s">
        <v>130</v>
      </c>
      <c r="BJ11" s="2" t="str">
        <f t="shared" si="1"/>
        <v>ТТИ-А 1500/5А 5ВА 0,5S</v>
      </c>
      <c r="BK11" s="2"/>
      <c r="BL11">
        <v>6</v>
      </c>
      <c r="BM11" s="2">
        <v>0</v>
      </c>
      <c r="BN11" s="2">
        <v>0</v>
      </c>
      <c r="BO11" s="2">
        <v>0</v>
      </c>
      <c r="BP11" s="2"/>
      <c r="BQ11" s="2"/>
      <c r="BR11" s="2"/>
      <c r="BS11" s="2"/>
      <c r="BT11" s="2">
        <v>25</v>
      </c>
      <c r="BU11" s="2">
        <v>0</v>
      </c>
      <c r="BV11" s="2">
        <v>0</v>
      </c>
      <c r="BW11" s="2" t="s">
        <v>132</v>
      </c>
      <c r="BX11" s="2" t="s">
        <v>133</v>
      </c>
      <c r="BY11" s="2"/>
      <c r="BZ11" s="2">
        <v>8</v>
      </c>
      <c r="CA11" s="2"/>
    </row>
    <row r="12" spans="1:79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101</v>
      </c>
      <c r="O12" s="2"/>
      <c r="P12" s="2"/>
      <c r="Q12" s="2">
        <v>2</v>
      </c>
      <c r="R12" s="49" t="s">
        <v>144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123</v>
      </c>
      <c r="Y12" s="2" t="s">
        <v>72</v>
      </c>
      <c r="Z12" s="2"/>
      <c r="AA12" s="2">
        <v>1</v>
      </c>
      <c r="AB12" s="50" t="s">
        <v>155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127</v>
      </c>
      <c r="AI12" s="226" t="s">
        <v>631</v>
      </c>
      <c r="AJ12" s="2">
        <v>0</v>
      </c>
      <c r="AK12" s="2">
        <v>3</v>
      </c>
      <c r="AL12" s="50" t="s">
        <v>151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128</v>
      </c>
      <c r="AS12" s="2" t="s">
        <v>126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129</v>
      </c>
      <c r="AZ12" s="226" t="s">
        <v>616</v>
      </c>
      <c r="BA12" s="2"/>
      <c r="BB12" s="225">
        <v>5</v>
      </c>
      <c r="BC12" s="226" t="s">
        <v>617</v>
      </c>
      <c r="BD12" s="226">
        <v>12.5</v>
      </c>
      <c r="BE12" s="226">
        <v>150</v>
      </c>
      <c r="BF12" s="2">
        <v>1250</v>
      </c>
      <c r="BG12" s="2">
        <v>0</v>
      </c>
      <c r="BH12" s="2">
        <v>0</v>
      </c>
      <c r="BI12" s="2" t="s">
        <v>130</v>
      </c>
      <c r="BJ12" s="2" t="str">
        <f t="shared" si="1"/>
        <v>ТТИ-А 1250/5А 5ВА 0,5S</v>
      </c>
      <c r="BK12" s="2"/>
      <c r="BL12">
        <v>6</v>
      </c>
      <c r="BM12" s="2">
        <v>0</v>
      </c>
      <c r="BN12" s="2">
        <v>0</v>
      </c>
      <c r="BO12" s="2">
        <v>0</v>
      </c>
      <c r="BP12" s="2"/>
      <c r="BQ12" s="2"/>
      <c r="BR12" s="2"/>
      <c r="BS12" s="2"/>
      <c r="BT12" s="2">
        <v>16</v>
      </c>
      <c r="BU12" s="2">
        <v>0</v>
      </c>
      <c r="BV12" s="2">
        <v>0</v>
      </c>
      <c r="BW12" s="2" t="s">
        <v>132</v>
      </c>
      <c r="BX12" s="2" t="s">
        <v>133</v>
      </c>
      <c r="BY12" s="2"/>
      <c r="BZ12" s="2">
        <v>8</v>
      </c>
      <c r="CA12" s="2"/>
    </row>
    <row r="13" spans="1:79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101</v>
      </c>
      <c r="O13" s="2"/>
      <c r="P13" s="2"/>
      <c r="Q13" s="2">
        <v>2</v>
      </c>
      <c r="R13" s="49" t="s">
        <v>144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155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127</v>
      </c>
      <c r="AI13" s="226" t="s">
        <v>631</v>
      </c>
      <c r="AJ13" s="2">
        <v>0</v>
      </c>
      <c r="AK13" s="2">
        <v>3</v>
      </c>
      <c r="AL13" s="50" t="s">
        <v>151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128</v>
      </c>
      <c r="AS13" s="2" t="s">
        <v>126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25"/>
      <c r="BD13" s="225"/>
      <c r="BE13" s="225"/>
      <c r="BF13" s="2">
        <v>1200</v>
      </c>
      <c r="BG13" s="2">
        <v>0</v>
      </c>
      <c r="BH13" s="2">
        <v>0</v>
      </c>
      <c r="BI13" s="2" t="s">
        <v>130</v>
      </c>
      <c r="BJ13" s="2" t="str">
        <f t="shared" si="1"/>
        <v>ТТИ-А 1200/5А 5ВА 0,5S</v>
      </c>
      <c r="BK13" s="2"/>
      <c r="BL13">
        <v>6</v>
      </c>
      <c r="BM13" s="2">
        <v>0</v>
      </c>
      <c r="BN13" s="2">
        <v>0</v>
      </c>
      <c r="BO13" s="2">
        <v>0</v>
      </c>
      <c r="BP13" s="2"/>
      <c r="BQ13" s="2"/>
      <c r="BR13" s="2"/>
      <c r="BS13" s="2"/>
      <c r="BT13" s="2">
        <v>12</v>
      </c>
      <c r="BU13" s="2">
        <v>0</v>
      </c>
      <c r="BV13" s="2">
        <v>0</v>
      </c>
      <c r="BW13" s="2" t="s">
        <v>132</v>
      </c>
      <c r="BX13" s="2" t="s">
        <v>133</v>
      </c>
      <c r="BY13" s="2"/>
      <c r="BZ13" s="2">
        <v>8</v>
      </c>
      <c r="CA13" s="2"/>
    </row>
    <row r="14" spans="1:79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101</v>
      </c>
      <c r="O14" s="2"/>
      <c r="P14" s="2"/>
      <c r="Q14" s="2">
        <v>2</v>
      </c>
      <c r="R14" s="49" t="s">
        <v>144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155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127</v>
      </c>
      <c r="AI14" s="226" t="s">
        <v>631</v>
      </c>
      <c r="AJ14" s="2">
        <v>0</v>
      </c>
      <c r="AK14" s="2">
        <v>3</v>
      </c>
      <c r="AL14" s="50" t="s">
        <v>151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25"/>
      <c r="BD14" s="225"/>
      <c r="BE14" s="225"/>
      <c r="BF14" s="47">
        <v>1000</v>
      </c>
      <c r="BG14" s="2">
        <v>0</v>
      </c>
      <c r="BH14" s="2">
        <v>0</v>
      </c>
      <c r="BI14" s="2" t="s">
        <v>130</v>
      </c>
      <c r="BJ14" s="2" t="str">
        <f t="shared" si="1"/>
        <v>ТТИ-А 1000/5А 5ВА 0,5S</v>
      </c>
      <c r="BK14" s="2"/>
      <c r="BL14">
        <v>6</v>
      </c>
      <c r="BM14" s="2">
        <v>0</v>
      </c>
      <c r="BN14" s="2">
        <v>0</v>
      </c>
      <c r="BO14" s="2">
        <v>0</v>
      </c>
      <c r="BP14" s="2"/>
      <c r="BQ14" s="2"/>
      <c r="BR14" s="2"/>
      <c r="BS14" s="2"/>
      <c r="BT14" s="47">
        <v>10</v>
      </c>
      <c r="BU14" s="2">
        <v>0</v>
      </c>
      <c r="BV14" s="2">
        <v>0</v>
      </c>
      <c r="BW14" s="2" t="s">
        <v>132</v>
      </c>
      <c r="BX14" s="2" t="s">
        <v>133</v>
      </c>
      <c r="BY14" s="2"/>
      <c r="BZ14" s="2">
        <v>8</v>
      </c>
      <c r="CA14" s="2"/>
    </row>
    <row r="15" spans="1:79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101</v>
      </c>
      <c r="O15" s="2"/>
      <c r="P15" s="2"/>
      <c r="Q15" s="2">
        <v>2</v>
      </c>
      <c r="R15" s="49" t="s">
        <v>144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155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127</v>
      </c>
      <c r="AI15" s="226" t="s">
        <v>631</v>
      </c>
      <c r="AJ15" s="2">
        <v>0</v>
      </c>
      <c r="AK15" s="2">
        <v>3</v>
      </c>
      <c r="AL15" s="50" t="s">
        <v>151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25"/>
      <c r="BD15" s="225"/>
      <c r="BE15" s="225"/>
      <c r="BF15" s="47">
        <v>800</v>
      </c>
      <c r="BG15" s="2">
        <v>0</v>
      </c>
      <c r="BH15" s="2">
        <v>0</v>
      </c>
      <c r="BI15" s="2" t="s">
        <v>130</v>
      </c>
      <c r="BJ15" s="2" t="str">
        <f t="shared" si="1"/>
        <v>ТТИ-А 800/5А 5ВА 0,5S</v>
      </c>
      <c r="BK15" s="2"/>
      <c r="BL15">
        <v>6</v>
      </c>
      <c r="BM15" s="2">
        <v>0</v>
      </c>
      <c r="BN15" s="2">
        <v>0</v>
      </c>
      <c r="BO15" s="2">
        <v>0</v>
      </c>
      <c r="BP15" s="2"/>
      <c r="BQ15" s="2"/>
      <c r="BR15" s="2"/>
      <c r="BS15" s="2"/>
      <c r="BT15" s="47">
        <v>8</v>
      </c>
      <c r="BU15" s="2">
        <v>0</v>
      </c>
      <c r="BV15" s="2">
        <v>0</v>
      </c>
      <c r="BW15" s="2" t="s">
        <v>132</v>
      </c>
      <c r="BX15" s="2" t="s">
        <v>133</v>
      </c>
      <c r="BY15" s="2"/>
      <c r="BZ15" s="2">
        <v>8</v>
      </c>
      <c r="CA15" s="2"/>
    </row>
    <row r="16" spans="1:79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101</v>
      </c>
      <c r="O16" s="2"/>
      <c r="P16" s="2"/>
      <c r="Q16" s="2">
        <v>2</v>
      </c>
      <c r="R16" s="49" t="s">
        <v>144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155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151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25"/>
      <c r="BD16" s="225"/>
      <c r="BE16" s="225"/>
      <c r="BF16" s="47">
        <v>750</v>
      </c>
      <c r="BG16" s="2">
        <v>0</v>
      </c>
      <c r="BH16" s="2">
        <v>0</v>
      </c>
      <c r="BI16" s="2" t="s">
        <v>130</v>
      </c>
      <c r="BJ16" s="2" t="str">
        <f t="shared" si="1"/>
        <v>ТТИ-А 750/5А 5ВА 0,5S</v>
      </c>
      <c r="BK16" s="2"/>
      <c r="BL16">
        <v>6</v>
      </c>
      <c r="BM16" s="2">
        <v>0</v>
      </c>
      <c r="BN16" s="2">
        <v>0</v>
      </c>
      <c r="BO16" s="2">
        <v>0</v>
      </c>
      <c r="BP16" s="2"/>
      <c r="BQ16" s="2"/>
      <c r="BR16" s="2"/>
      <c r="BS16" s="2"/>
      <c r="BT16" s="47">
        <v>6</v>
      </c>
      <c r="BU16" s="2">
        <v>0</v>
      </c>
      <c r="BV16" s="2">
        <v>0</v>
      </c>
      <c r="BW16" s="2" t="s">
        <v>132</v>
      </c>
      <c r="BX16" s="2" t="s">
        <v>133</v>
      </c>
      <c r="BY16" s="2"/>
      <c r="BZ16" s="2">
        <v>8</v>
      </c>
      <c r="CA16" s="2"/>
    </row>
    <row r="17" spans="6:79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101</v>
      </c>
      <c r="O17" s="2"/>
      <c r="P17" s="2"/>
      <c r="Q17" s="2">
        <v>2</v>
      </c>
      <c r="R17" s="49" t="s">
        <v>144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155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151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25"/>
      <c r="BD17" s="225"/>
      <c r="BE17" s="225"/>
      <c r="BF17" s="47">
        <v>600</v>
      </c>
      <c r="BG17" s="2">
        <v>0</v>
      </c>
      <c r="BH17" s="2">
        <v>0</v>
      </c>
      <c r="BI17" s="2" t="s">
        <v>130</v>
      </c>
      <c r="BJ17" s="2" t="str">
        <f t="shared" si="1"/>
        <v>ТТИ-А 600/5А 5ВА 0,5S</v>
      </c>
      <c r="BK17" s="2"/>
      <c r="BL17">
        <v>6</v>
      </c>
      <c r="BM17" s="2">
        <v>0</v>
      </c>
      <c r="BN17" s="2">
        <v>0</v>
      </c>
      <c r="BO17" s="2">
        <v>0</v>
      </c>
      <c r="BP17" s="2"/>
      <c r="BQ17" s="2"/>
      <c r="BR17" s="2"/>
      <c r="BS17" s="2"/>
      <c r="BT17" s="47">
        <v>4</v>
      </c>
      <c r="BU17" s="2">
        <v>0</v>
      </c>
      <c r="BV17" s="2">
        <v>0</v>
      </c>
      <c r="BW17" s="2" t="s">
        <v>132</v>
      </c>
      <c r="BX17" s="2" t="s">
        <v>133</v>
      </c>
      <c r="BY17" s="2"/>
      <c r="BZ17" s="2">
        <v>8</v>
      </c>
      <c r="CA17" s="2"/>
    </row>
    <row r="18" spans="6:79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101</v>
      </c>
      <c r="O18" s="2"/>
      <c r="P18" s="2"/>
      <c r="Q18" s="2">
        <v>2</v>
      </c>
      <c r="R18" s="49" t="s">
        <v>144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155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151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25"/>
      <c r="BD18" s="225"/>
      <c r="BE18" s="225"/>
      <c r="BF18" s="47">
        <v>500</v>
      </c>
      <c r="BG18" s="2">
        <v>0</v>
      </c>
      <c r="BH18" s="2">
        <v>0</v>
      </c>
      <c r="BI18" s="2" t="s">
        <v>130</v>
      </c>
      <c r="BJ18" s="2" t="str">
        <f t="shared" si="1"/>
        <v>ТТИ-А 500/5А 5ВА 0,5S</v>
      </c>
      <c r="BK18" s="2"/>
      <c r="BL18">
        <v>6</v>
      </c>
      <c r="BM18" s="2">
        <v>0</v>
      </c>
      <c r="BN18" s="2">
        <v>0</v>
      </c>
      <c r="BO18" s="2">
        <v>0</v>
      </c>
      <c r="BP18" s="2"/>
      <c r="BQ18" s="2"/>
      <c r="BR18" s="2"/>
      <c r="BS18" s="2"/>
      <c r="BT18" s="47">
        <v>2.5</v>
      </c>
      <c r="BU18" s="2">
        <v>0</v>
      </c>
      <c r="BV18" s="2">
        <v>0</v>
      </c>
      <c r="BW18" s="2" t="s">
        <v>132</v>
      </c>
      <c r="BX18" s="2" t="s">
        <v>133</v>
      </c>
      <c r="BY18" s="2"/>
      <c r="BZ18" s="2">
        <v>8</v>
      </c>
      <c r="CA18" s="2"/>
    </row>
    <row r="19" spans="6:79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101</v>
      </c>
      <c r="O19" s="2"/>
      <c r="P19" s="2"/>
      <c r="Q19" s="2">
        <v>2</v>
      </c>
      <c r="R19" s="49" t="s">
        <v>144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155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151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25"/>
      <c r="BD19" s="225"/>
      <c r="BE19" s="225"/>
      <c r="BF19" s="47">
        <v>400</v>
      </c>
      <c r="BG19" s="2">
        <v>0</v>
      </c>
      <c r="BH19" s="2">
        <v>0</v>
      </c>
      <c r="BI19" s="2" t="s">
        <v>130</v>
      </c>
      <c r="BJ19" s="2" t="str">
        <f t="shared" si="1"/>
        <v>ТТИ-А 400/5А 5ВА 0,5S</v>
      </c>
      <c r="BK19" s="2"/>
      <c r="BL19">
        <v>6</v>
      </c>
      <c r="BM19" s="2">
        <v>0</v>
      </c>
      <c r="BN19" s="2">
        <v>0</v>
      </c>
      <c r="BO19" s="2">
        <v>0</v>
      </c>
      <c r="BP19" s="2"/>
      <c r="BQ19" s="2"/>
      <c r="BR19" s="2"/>
      <c r="BS19" s="2"/>
      <c r="BT19" s="47">
        <v>1.6</v>
      </c>
      <c r="BU19" s="2">
        <v>0</v>
      </c>
      <c r="BV19" s="2">
        <v>0</v>
      </c>
      <c r="BW19" s="2" t="s">
        <v>132</v>
      </c>
      <c r="BX19" s="2" t="s">
        <v>133</v>
      </c>
      <c r="BY19" s="2"/>
      <c r="BZ19" s="2">
        <v>8</v>
      </c>
      <c r="CA19" s="2"/>
    </row>
    <row r="20" spans="6:79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101</v>
      </c>
      <c r="O20" s="2"/>
      <c r="P20" s="2"/>
      <c r="Q20" s="2">
        <v>2</v>
      </c>
      <c r="R20" s="49" t="s">
        <v>144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155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151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25"/>
      <c r="BD20" s="225"/>
      <c r="BE20" s="225"/>
      <c r="BF20" s="47">
        <v>300</v>
      </c>
      <c r="BG20" s="2">
        <v>0</v>
      </c>
      <c r="BH20" s="2">
        <v>0</v>
      </c>
      <c r="BI20" s="2" t="s">
        <v>130</v>
      </c>
      <c r="BJ20" s="2" t="str">
        <f t="shared" si="1"/>
        <v>ТТИ-А 300/5А 5ВА 0,5S</v>
      </c>
      <c r="BK20" s="2"/>
      <c r="BL20">
        <v>6</v>
      </c>
      <c r="BM20" s="2">
        <v>0</v>
      </c>
      <c r="BN20" s="2">
        <v>0</v>
      </c>
      <c r="BO20" s="2">
        <v>0</v>
      </c>
      <c r="BP20" s="2"/>
      <c r="BQ20" s="2"/>
      <c r="BR20" s="2"/>
      <c r="BS20" s="2"/>
      <c r="BT20" s="47">
        <v>1</v>
      </c>
      <c r="BU20" s="2">
        <v>0</v>
      </c>
      <c r="BV20" s="2">
        <v>0</v>
      </c>
      <c r="BW20" s="2" t="s">
        <v>132</v>
      </c>
      <c r="BX20" s="2" t="s">
        <v>133</v>
      </c>
      <c r="BY20" s="2"/>
      <c r="BZ20" s="2">
        <v>8</v>
      </c>
      <c r="CA20" s="2"/>
    </row>
    <row r="21" spans="6:79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101</v>
      </c>
      <c r="O21" s="2"/>
      <c r="P21" s="2"/>
      <c r="Q21" s="2">
        <v>2</v>
      </c>
      <c r="R21" s="49" t="s">
        <v>144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155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151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25"/>
      <c r="BD21" s="225"/>
      <c r="BE21" s="225"/>
      <c r="BF21" s="47">
        <v>250</v>
      </c>
      <c r="BG21" s="2">
        <v>0</v>
      </c>
      <c r="BH21" s="2">
        <v>0</v>
      </c>
      <c r="BI21" s="2" t="s">
        <v>130</v>
      </c>
      <c r="BJ21" s="2" t="str">
        <f t="shared" si="1"/>
        <v>ТТИ-А 250/5А 5ВА 0,5S</v>
      </c>
      <c r="BK21" s="2"/>
      <c r="BL21">
        <v>6</v>
      </c>
      <c r="BM21" s="2">
        <v>0</v>
      </c>
      <c r="BN21" s="2">
        <v>0</v>
      </c>
      <c r="BO21" s="2">
        <v>0</v>
      </c>
      <c r="BP21" s="2"/>
      <c r="BQ21" s="2"/>
      <c r="BR21" s="2"/>
      <c r="BS21" s="2"/>
      <c r="BT21" s="47">
        <v>0.6</v>
      </c>
      <c r="BU21" s="2">
        <v>0</v>
      </c>
      <c r="BV21" s="2">
        <v>0</v>
      </c>
      <c r="BW21" s="2" t="s">
        <v>132</v>
      </c>
      <c r="BX21" s="2" t="s">
        <v>133</v>
      </c>
      <c r="BY21" s="2"/>
      <c r="BZ21" s="2">
        <v>8</v>
      </c>
      <c r="CA21" s="2"/>
    </row>
    <row r="22" spans="6:79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101</v>
      </c>
      <c r="O22" s="2"/>
      <c r="P22" s="2"/>
      <c r="Q22" s="2">
        <v>2</v>
      </c>
      <c r="R22" s="49" t="s">
        <v>144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155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151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225"/>
      <c r="BD22" s="225"/>
      <c r="BE22" s="225"/>
      <c r="BF22" s="47">
        <v>200</v>
      </c>
      <c r="BG22" s="2">
        <v>0</v>
      </c>
      <c r="BH22" s="2">
        <v>0</v>
      </c>
      <c r="BI22" s="2" t="s">
        <v>130</v>
      </c>
      <c r="BJ22" s="2" t="str">
        <f t="shared" si="1"/>
        <v>ТТИ-А 200/5А 5ВА 0,5S</v>
      </c>
      <c r="BK22" s="2"/>
      <c r="BL22">
        <v>6</v>
      </c>
      <c r="BM22" s="2">
        <v>0</v>
      </c>
      <c r="BN22" s="2">
        <v>0</v>
      </c>
      <c r="BO22" s="2">
        <v>0</v>
      </c>
      <c r="BP22" s="2"/>
      <c r="BQ22" s="2"/>
      <c r="BR22" s="2"/>
      <c r="BS22" s="2"/>
      <c r="BT22" s="2">
        <v>0</v>
      </c>
      <c r="BU22" s="2">
        <v>0</v>
      </c>
      <c r="BV22" s="2">
        <v>0</v>
      </c>
      <c r="BW22" s="2">
        <v>0</v>
      </c>
      <c r="BX22" s="2"/>
      <c r="BY22" s="2"/>
      <c r="BZ22" s="2"/>
      <c r="CA22" s="2"/>
    </row>
    <row r="23" spans="6:79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101</v>
      </c>
      <c r="O23" s="2"/>
      <c r="P23" s="2"/>
      <c r="Q23" s="2">
        <v>2</v>
      </c>
      <c r="R23" s="49" t="s">
        <v>144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155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151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225"/>
      <c r="BD23" s="225"/>
      <c r="BE23" s="225"/>
      <c r="BF23" s="47">
        <v>150</v>
      </c>
      <c r="BG23" s="2">
        <v>0</v>
      </c>
      <c r="BH23" s="2">
        <v>0</v>
      </c>
      <c r="BI23" s="2" t="s">
        <v>130</v>
      </c>
      <c r="BJ23" s="2" t="str">
        <f t="shared" si="1"/>
        <v>ТТИ-А 150/5А 5ВА 0,5S</v>
      </c>
      <c r="BK23" s="2"/>
      <c r="BL23">
        <v>6</v>
      </c>
      <c r="BM23" s="2">
        <v>0</v>
      </c>
      <c r="BN23" s="2">
        <v>0</v>
      </c>
      <c r="BO23" s="2">
        <v>0</v>
      </c>
      <c r="BP23" s="2"/>
      <c r="BQ23" s="2"/>
      <c r="BR23" s="2"/>
      <c r="BS23" s="2"/>
      <c r="BT23" s="2">
        <v>0</v>
      </c>
      <c r="BU23" s="2">
        <v>0</v>
      </c>
      <c r="BV23" s="2">
        <v>0</v>
      </c>
      <c r="BW23" s="2">
        <v>0</v>
      </c>
      <c r="BX23" s="2"/>
      <c r="BY23" s="2"/>
      <c r="BZ23" s="2"/>
      <c r="CA23" s="2"/>
    </row>
    <row r="24" spans="6:79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101</v>
      </c>
      <c r="O24" s="226" t="s">
        <v>630</v>
      </c>
      <c r="P24" s="2"/>
      <c r="Q24" s="2">
        <v>2</v>
      </c>
      <c r="R24" s="49" t="s">
        <v>144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155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151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225"/>
      <c r="BD24" s="225"/>
      <c r="BE24" s="225"/>
      <c r="BF24" s="47">
        <v>125</v>
      </c>
      <c r="BG24" s="2">
        <v>0</v>
      </c>
      <c r="BH24" s="2">
        <v>0</v>
      </c>
      <c r="BI24" s="2" t="s">
        <v>130</v>
      </c>
      <c r="BJ24" s="2" t="str">
        <f t="shared" si="1"/>
        <v>ТТИ-А 125/5А 5ВА 0,5S</v>
      </c>
      <c r="BK24" s="2"/>
      <c r="BL24">
        <v>6</v>
      </c>
      <c r="BM24" s="2">
        <v>0</v>
      </c>
      <c r="BN24" s="2">
        <v>0</v>
      </c>
      <c r="BO24" s="2">
        <v>0</v>
      </c>
      <c r="BP24" s="2"/>
      <c r="BQ24" s="2"/>
      <c r="BR24" s="2"/>
      <c r="BS24" s="2"/>
      <c r="BT24" s="2">
        <v>0</v>
      </c>
      <c r="BU24" s="2">
        <v>0</v>
      </c>
      <c r="BV24" s="2">
        <v>0</v>
      </c>
      <c r="BW24" s="2">
        <v>0</v>
      </c>
      <c r="BX24" s="2"/>
      <c r="BY24" s="2"/>
      <c r="BZ24" s="2"/>
      <c r="CA24" s="2"/>
    </row>
    <row r="25" spans="6:79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101</v>
      </c>
      <c r="O25" s="226" t="s">
        <v>630</v>
      </c>
      <c r="P25" s="2"/>
      <c r="Q25" s="2">
        <v>2</v>
      </c>
      <c r="R25" s="49" t="s">
        <v>144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155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151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25"/>
      <c r="BD25" s="225"/>
      <c r="BE25" s="225"/>
      <c r="BF25" s="47">
        <v>120</v>
      </c>
      <c r="BG25" s="2">
        <v>0</v>
      </c>
      <c r="BH25" s="2">
        <v>0</v>
      </c>
      <c r="BI25" s="2" t="s">
        <v>130</v>
      </c>
      <c r="BJ25" s="2" t="str">
        <f t="shared" si="1"/>
        <v>ТТИ-А 120/5А 5ВА 0,5S</v>
      </c>
      <c r="BK25" s="2"/>
      <c r="BL25">
        <v>6</v>
      </c>
      <c r="BM25" s="2">
        <v>0</v>
      </c>
      <c r="BN25" s="2">
        <v>0</v>
      </c>
      <c r="BO25" s="2">
        <v>0</v>
      </c>
      <c r="BP25" s="2"/>
      <c r="BQ25" s="2"/>
      <c r="BR25" s="2"/>
      <c r="BS25" s="2"/>
      <c r="BT25" s="2">
        <v>0</v>
      </c>
      <c r="BU25" s="2">
        <v>0</v>
      </c>
      <c r="BV25" s="2">
        <v>0</v>
      </c>
      <c r="BW25" s="2">
        <v>0</v>
      </c>
      <c r="BX25" s="2"/>
      <c r="BY25" s="2"/>
      <c r="BZ25" s="2"/>
      <c r="CA25" s="2"/>
    </row>
    <row r="26" spans="6:79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101</v>
      </c>
      <c r="O26" s="226" t="s">
        <v>630</v>
      </c>
      <c r="P26" s="2"/>
      <c r="Q26" s="2">
        <v>2</v>
      </c>
      <c r="R26" s="49" t="s">
        <v>144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155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151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225"/>
      <c r="BD26" s="225"/>
      <c r="BE26" s="225"/>
      <c r="BF26" s="47">
        <v>100</v>
      </c>
      <c r="BG26" s="2">
        <v>0</v>
      </c>
      <c r="BH26" s="2">
        <v>0</v>
      </c>
      <c r="BI26" s="2" t="s">
        <v>130</v>
      </c>
      <c r="BJ26" s="2" t="str">
        <f t="shared" si="1"/>
        <v>ТТИ-А 100/5А 5ВА 0,5S</v>
      </c>
      <c r="BK26" s="2"/>
      <c r="BL26">
        <v>6</v>
      </c>
      <c r="BM26" s="2">
        <v>0</v>
      </c>
      <c r="BN26" s="2">
        <v>0</v>
      </c>
      <c r="BO26" s="2">
        <v>0</v>
      </c>
      <c r="BP26" s="2"/>
      <c r="BQ26" s="2"/>
      <c r="BR26" s="2"/>
      <c r="BS26" s="2"/>
      <c r="BT26" s="2">
        <v>0</v>
      </c>
      <c r="BU26" s="2">
        <v>0</v>
      </c>
      <c r="BV26" s="2">
        <v>0</v>
      </c>
      <c r="BW26" s="2">
        <v>0</v>
      </c>
      <c r="BX26" s="2"/>
      <c r="BY26" s="2"/>
      <c r="BZ26" s="2"/>
      <c r="CA26" s="2"/>
    </row>
    <row r="27" spans="6:79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101</v>
      </c>
      <c r="O27" s="226" t="s">
        <v>630</v>
      </c>
      <c r="P27" s="2"/>
      <c r="Q27" s="2">
        <v>2</v>
      </c>
      <c r="R27" s="49" t="s">
        <v>144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155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151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25"/>
      <c r="BD27" s="225"/>
      <c r="BE27" s="225"/>
      <c r="BF27" s="47">
        <v>80</v>
      </c>
      <c r="BG27" s="2">
        <v>0</v>
      </c>
      <c r="BH27" s="2">
        <v>0</v>
      </c>
      <c r="BI27" s="2" t="s">
        <v>130</v>
      </c>
      <c r="BJ27" s="2" t="str">
        <f t="shared" si="1"/>
        <v>ТТИ-А 80/5А 5ВА 0,5S</v>
      </c>
      <c r="BK27" s="2"/>
      <c r="BL27">
        <v>6</v>
      </c>
      <c r="BM27" s="2">
        <v>0</v>
      </c>
      <c r="BN27" s="2">
        <v>0</v>
      </c>
      <c r="BO27" s="2">
        <v>0</v>
      </c>
      <c r="BP27" s="2"/>
      <c r="BQ27" s="2"/>
      <c r="BR27" s="2"/>
      <c r="BS27" s="2"/>
      <c r="BT27" s="2">
        <v>0</v>
      </c>
      <c r="BU27" s="2">
        <v>0</v>
      </c>
      <c r="BV27" s="2">
        <v>0</v>
      </c>
      <c r="BW27" s="2">
        <v>0</v>
      </c>
      <c r="BX27" s="2"/>
      <c r="BY27" s="2"/>
      <c r="BZ27" s="2"/>
      <c r="CA27" s="2"/>
    </row>
    <row r="28" spans="6:79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101</v>
      </c>
      <c r="O28" s="226" t="s">
        <v>630</v>
      </c>
      <c r="P28" s="2"/>
      <c r="Q28" s="2">
        <v>2</v>
      </c>
      <c r="R28" s="49" t="s">
        <v>144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155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151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225"/>
      <c r="BD28" s="225"/>
      <c r="BE28" s="225"/>
      <c r="BF28" s="47">
        <v>75</v>
      </c>
      <c r="BG28" s="2">
        <v>0</v>
      </c>
      <c r="BH28" s="2">
        <v>0</v>
      </c>
      <c r="BI28" s="2" t="s">
        <v>130</v>
      </c>
      <c r="BJ28" s="2" t="str">
        <f t="shared" si="1"/>
        <v>ТТИ-А 75/5А 5ВА 0,5S</v>
      </c>
      <c r="BK28" s="2"/>
      <c r="BL28">
        <v>6</v>
      </c>
      <c r="BM28" s="2">
        <v>0</v>
      </c>
      <c r="BN28" s="2">
        <v>0</v>
      </c>
      <c r="BO28" s="2">
        <v>0</v>
      </c>
      <c r="BP28" s="2"/>
      <c r="BQ28" s="2"/>
      <c r="BR28" s="2"/>
      <c r="BS28" s="2"/>
      <c r="BT28" s="2">
        <v>0</v>
      </c>
      <c r="BU28" s="2">
        <v>0</v>
      </c>
      <c r="BV28" s="2">
        <v>0</v>
      </c>
      <c r="BW28" s="2">
        <v>0</v>
      </c>
      <c r="BX28" s="2"/>
      <c r="BY28" s="2"/>
      <c r="BZ28" s="2"/>
      <c r="CA28" s="2"/>
    </row>
    <row r="29" spans="6:79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101</v>
      </c>
      <c r="O29" s="226" t="s">
        <v>630</v>
      </c>
      <c r="P29" s="2"/>
      <c r="Q29" s="2">
        <v>2</v>
      </c>
      <c r="R29" s="49" t="s">
        <v>144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155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151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225"/>
      <c r="BD29" s="225"/>
      <c r="BE29" s="225"/>
      <c r="BF29" s="47">
        <v>60</v>
      </c>
      <c r="BG29" s="2">
        <v>0</v>
      </c>
      <c r="BH29" s="2">
        <v>0</v>
      </c>
      <c r="BI29" s="2" t="s">
        <v>130</v>
      </c>
      <c r="BJ29" s="2" t="str">
        <f t="shared" si="1"/>
        <v>ТТИ-А 60/5А 5ВА 0,5S</v>
      </c>
      <c r="BK29" s="2"/>
      <c r="BL29">
        <v>6</v>
      </c>
      <c r="BM29" s="2">
        <v>0</v>
      </c>
      <c r="BN29" s="2">
        <v>0</v>
      </c>
      <c r="BO29" s="2">
        <v>0</v>
      </c>
      <c r="BP29" s="2"/>
      <c r="BQ29" s="2"/>
      <c r="BR29" s="2"/>
      <c r="BS29" s="2"/>
      <c r="BT29" s="2">
        <v>0</v>
      </c>
      <c r="BU29" s="2">
        <v>0</v>
      </c>
      <c r="BV29" s="2">
        <v>0</v>
      </c>
      <c r="BW29" s="2">
        <v>0</v>
      </c>
      <c r="BX29" s="2"/>
      <c r="BY29" s="2"/>
      <c r="BZ29" s="2"/>
      <c r="CA29" s="2"/>
    </row>
    <row r="30" spans="6:79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101</v>
      </c>
      <c r="O30" s="226" t="s">
        <v>630</v>
      </c>
      <c r="P30" s="2"/>
      <c r="Q30" s="2">
        <v>2</v>
      </c>
      <c r="R30" s="49" t="s">
        <v>144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155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151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225"/>
      <c r="BD30" s="225"/>
      <c r="BE30" s="225"/>
      <c r="BF30" s="47">
        <v>50</v>
      </c>
      <c r="BG30" s="2">
        <v>0</v>
      </c>
      <c r="BH30" s="2">
        <v>0</v>
      </c>
      <c r="BI30" s="2" t="s">
        <v>130</v>
      </c>
      <c r="BJ30" s="2" t="str">
        <f t="shared" si="1"/>
        <v>ТТИ-А 50/5А 5ВА 0,5S</v>
      </c>
      <c r="BK30" s="2"/>
      <c r="BL30">
        <v>6</v>
      </c>
      <c r="BM30" s="2">
        <v>0</v>
      </c>
      <c r="BN30" s="2">
        <v>0</v>
      </c>
      <c r="BO30" s="2">
        <v>0</v>
      </c>
      <c r="BP30" s="2"/>
      <c r="BQ30" s="2"/>
      <c r="BR30" s="2"/>
      <c r="BS30" s="2"/>
      <c r="BT30" s="2">
        <v>0</v>
      </c>
      <c r="BU30" s="2">
        <v>0</v>
      </c>
      <c r="BV30" s="2">
        <v>0</v>
      </c>
      <c r="BW30" s="2">
        <v>0</v>
      </c>
      <c r="BX30" s="2"/>
      <c r="BY30" s="2"/>
      <c r="BZ30" s="2"/>
      <c r="CA30" s="2"/>
    </row>
    <row r="31" spans="6:79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101</v>
      </c>
      <c r="O31" s="226" t="s">
        <v>630</v>
      </c>
      <c r="P31" s="2"/>
      <c r="Q31" s="2">
        <v>2</v>
      </c>
      <c r="R31" s="49" t="s">
        <v>144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155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151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225"/>
      <c r="BD31" s="225"/>
      <c r="BE31" s="225"/>
      <c r="BF31" s="47">
        <v>40</v>
      </c>
      <c r="BG31" s="2">
        <v>0</v>
      </c>
      <c r="BH31" s="2">
        <v>0</v>
      </c>
      <c r="BI31" s="2" t="s">
        <v>130</v>
      </c>
      <c r="BJ31" s="2" t="str">
        <f t="shared" si="1"/>
        <v>ТТИ-А 40/5А 5ВА 0,5S</v>
      </c>
      <c r="BK31" s="2"/>
      <c r="BL31">
        <v>6</v>
      </c>
      <c r="BM31" s="2">
        <v>0</v>
      </c>
      <c r="BN31" s="2">
        <v>0</v>
      </c>
      <c r="BO31" s="2">
        <v>0</v>
      </c>
      <c r="BP31" s="2"/>
      <c r="BQ31" s="2"/>
      <c r="BR31" s="2"/>
      <c r="BS31" s="2"/>
      <c r="BT31" s="2">
        <v>0</v>
      </c>
      <c r="BU31" s="2">
        <v>0</v>
      </c>
      <c r="BV31" s="2">
        <v>0</v>
      </c>
      <c r="BW31" s="2">
        <v>0</v>
      </c>
      <c r="BX31" s="2"/>
      <c r="BY31" s="2"/>
      <c r="BZ31" s="2"/>
      <c r="CA31" s="2"/>
    </row>
    <row r="32" spans="6:79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101</v>
      </c>
      <c r="O32" s="226" t="s">
        <v>630</v>
      </c>
      <c r="P32" s="2"/>
      <c r="Q32" s="2">
        <v>2</v>
      </c>
      <c r="R32" s="49" t="s">
        <v>144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155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151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225"/>
      <c r="BD32" s="225"/>
      <c r="BE32" s="225"/>
      <c r="BF32" s="47">
        <v>30</v>
      </c>
      <c r="BG32" s="2">
        <v>0</v>
      </c>
      <c r="BH32" s="2">
        <v>0</v>
      </c>
      <c r="BI32" s="2" t="s">
        <v>130</v>
      </c>
      <c r="BJ32" s="2" t="str">
        <f t="shared" si="1"/>
        <v>ТТИ-А 30/5А 5ВА 0,5S</v>
      </c>
      <c r="BK32" s="2"/>
      <c r="BL32">
        <v>6</v>
      </c>
      <c r="BM32" s="2">
        <v>0</v>
      </c>
      <c r="BN32" s="2">
        <v>0</v>
      </c>
      <c r="BO32" s="2">
        <v>0</v>
      </c>
      <c r="BP32" s="2"/>
      <c r="BQ32" s="2"/>
      <c r="BR32" s="2"/>
      <c r="BS32" s="2"/>
      <c r="BT32" s="2">
        <v>0</v>
      </c>
      <c r="BU32" s="2">
        <v>0</v>
      </c>
      <c r="BV32" s="2">
        <v>0</v>
      </c>
      <c r="BW32" s="2">
        <v>0</v>
      </c>
      <c r="BX32" s="2"/>
      <c r="BY32" s="2"/>
      <c r="BZ32" s="2"/>
      <c r="CA32" s="2"/>
    </row>
    <row r="33" spans="6:79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101</v>
      </c>
      <c r="O33" s="226" t="s">
        <v>630</v>
      </c>
      <c r="P33" s="2"/>
      <c r="Q33" s="2">
        <v>2</v>
      </c>
      <c r="R33" s="49" t="s">
        <v>144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155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151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225"/>
      <c r="BD33" s="225"/>
      <c r="BE33" s="225"/>
      <c r="BF33" s="47">
        <v>25</v>
      </c>
      <c r="BG33" s="2">
        <v>0</v>
      </c>
      <c r="BH33" s="2">
        <v>0</v>
      </c>
      <c r="BI33" s="2" t="s">
        <v>130</v>
      </c>
      <c r="BJ33" s="2" t="str">
        <f t="shared" si="1"/>
        <v>ТТИ-А 25/5А 5ВА 0,5S</v>
      </c>
      <c r="BK33" s="2"/>
      <c r="BL33">
        <v>6</v>
      </c>
      <c r="BM33" s="2">
        <v>0</v>
      </c>
      <c r="BN33" s="2">
        <v>0</v>
      </c>
      <c r="BO33" s="2">
        <v>0</v>
      </c>
      <c r="BP33" s="2"/>
      <c r="BQ33" s="2"/>
      <c r="BR33" s="2"/>
      <c r="BS33" s="2"/>
      <c r="BT33" s="2">
        <v>0</v>
      </c>
      <c r="BU33" s="2">
        <v>0</v>
      </c>
      <c r="BV33" s="2">
        <v>0</v>
      </c>
      <c r="BW33" s="2">
        <v>0</v>
      </c>
      <c r="BX33" s="2"/>
      <c r="BY33" s="2"/>
      <c r="BZ33" s="2"/>
      <c r="CA33" s="2"/>
    </row>
    <row r="34" spans="6:79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101</v>
      </c>
      <c r="O34" s="226" t="s">
        <v>630</v>
      </c>
      <c r="P34" s="2"/>
      <c r="Q34" s="2">
        <v>2</v>
      </c>
      <c r="R34" s="49" t="s">
        <v>144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155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151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225"/>
      <c r="BD34" s="225"/>
      <c r="BE34" s="225"/>
      <c r="BF34" s="47">
        <v>20</v>
      </c>
      <c r="BG34" s="2">
        <v>0</v>
      </c>
      <c r="BH34" s="2">
        <v>0</v>
      </c>
      <c r="BI34" s="2" t="s">
        <v>130</v>
      </c>
      <c r="BJ34" s="2" t="str">
        <f t="shared" si="1"/>
        <v>ТТИ-А 20/5А 5ВА 0,5S</v>
      </c>
      <c r="BK34" s="2"/>
      <c r="BL34">
        <v>6</v>
      </c>
      <c r="BM34" s="2">
        <v>0</v>
      </c>
      <c r="BN34" s="2">
        <v>0</v>
      </c>
      <c r="BO34" s="2">
        <v>0</v>
      </c>
      <c r="BP34" s="2"/>
      <c r="BQ34" s="2"/>
      <c r="BR34" s="2"/>
      <c r="BS34" s="2"/>
      <c r="BT34" s="2">
        <v>0</v>
      </c>
      <c r="BU34" s="2">
        <v>0</v>
      </c>
      <c r="BV34" s="2">
        <v>0</v>
      </c>
      <c r="BW34" s="2">
        <v>0</v>
      </c>
      <c r="BX34" s="2"/>
      <c r="BY34" s="2"/>
      <c r="BZ34" s="2"/>
      <c r="CA34" s="2"/>
    </row>
    <row r="35" spans="6:79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101</v>
      </c>
      <c r="O35" s="226" t="s">
        <v>630</v>
      </c>
      <c r="P35" s="2"/>
      <c r="Q35" s="2">
        <v>2</v>
      </c>
      <c r="R35" s="49" t="s">
        <v>144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155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151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225"/>
      <c r="BD35" s="225"/>
      <c r="BE35" s="225"/>
      <c r="BF35" s="47">
        <v>15</v>
      </c>
      <c r="BG35" s="2">
        <v>0</v>
      </c>
      <c r="BH35" s="2">
        <v>0</v>
      </c>
      <c r="BI35" s="2" t="s">
        <v>130</v>
      </c>
      <c r="BJ35" s="2" t="str">
        <f t="shared" si="1"/>
        <v>ТТИ-А 15/5А 5ВА 0,5S</v>
      </c>
      <c r="BK35" s="2"/>
      <c r="BL35">
        <v>6</v>
      </c>
      <c r="BM35" s="2">
        <v>0</v>
      </c>
      <c r="BN35" s="2">
        <v>0</v>
      </c>
      <c r="BO35" s="2">
        <v>0</v>
      </c>
      <c r="BP35" s="2"/>
      <c r="BQ35" s="2"/>
      <c r="BR35" s="2"/>
      <c r="BS35" s="2"/>
      <c r="BT35" s="2">
        <v>0</v>
      </c>
      <c r="BU35" s="2">
        <v>0</v>
      </c>
      <c r="BV35" s="2">
        <v>0</v>
      </c>
      <c r="BW35" s="2">
        <v>0</v>
      </c>
      <c r="BX35" s="2"/>
      <c r="BY35" s="2"/>
      <c r="BZ35" s="2"/>
      <c r="CA35" s="2"/>
    </row>
    <row r="36" spans="6:79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101</v>
      </c>
      <c r="O36" s="226" t="s">
        <v>630</v>
      </c>
      <c r="P36" s="2"/>
      <c r="Q36" s="2">
        <v>2</v>
      </c>
      <c r="R36" s="49" t="s">
        <v>144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155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151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225"/>
      <c r="BD36" s="225"/>
      <c r="BE36" s="225"/>
      <c r="BF36" s="47">
        <v>10</v>
      </c>
      <c r="BG36" s="2">
        <v>0</v>
      </c>
      <c r="BH36" s="2">
        <v>0</v>
      </c>
      <c r="BI36" s="2" t="s">
        <v>130</v>
      </c>
      <c r="BJ36" s="2" t="str">
        <f t="shared" si="1"/>
        <v>ТТИ-А 10/5А 5ВА 0,5S</v>
      </c>
      <c r="BK36" s="2"/>
      <c r="BL36">
        <v>6</v>
      </c>
      <c r="BM36" s="2">
        <v>0</v>
      </c>
      <c r="BN36" s="2">
        <v>0</v>
      </c>
      <c r="BO36" s="2">
        <v>0</v>
      </c>
      <c r="BP36" s="2"/>
      <c r="BQ36" s="2"/>
      <c r="BR36" s="2"/>
      <c r="BS36" s="2"/>
      <c r="BT36" s="2">
        <v>0</v>
      </c>
      <c r="BU36" s="2">
        <v>0</v>
      </c>
      <c r="BV36" s="2">
        <v>0</v>
      </c>
      <c r="BW36" s="2">
        <v>0</v>
      </c>
      <c r="BX36" s="2"/>
      <c r="BY36" s="2"/>
      <c r="BZ36" s="2"/>
      <c r="CA36" s="2"/>
    </row>
    <row r="37" spans="6:79" x14ac:dyDescent="0.25">
      <c r="K37" s="2">
        <v>0.4</v>
      </c>
      <c r="L37" s="2">
        <v>49</v>
      </c>
      <c r="M37" s="2">
        <v>34.5</v>
      </c>
      <c r="N37" s="2" t="s">
        <v>101</v>
      </c>
      <c r="O37" s="226" t="s">
        <v>630</v>
      </c>
      <c r="P37" s="2"/>
      <c r="Q37" s="2">
        <v>2</v>
      </c>
      <c r="R37" s="49" t="s">
        <v>144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155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151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225"/>
      <c r="BD37" s="225"/>
      <c r="BE37" s="225"/>
      <c r="BF37" s="47">
        <v>5</v>
      </c>
      <c r="BG37" s="2">
        <v>0</v>
      </c>
      <c r="BH37" s="2">
        <v>0</v>
      </c>
      <c r="BI37" s="2" t="s">
        <v>130</v>
      </c>
      <c r="BJ37" s="2" t="str">
        <f>"ТТИ-А "&amp;BF37&amp;"/5А 5ВА 0,5S"</f>
        <v>ТТИ-А 5/5А 5ВА 0,5S</v>
      </c>
      <c r="BK37" s="2"/>
      <c r="BL37">
        <v>6</v>
      </c>
      <c r="BM37" s="2">
        <v>0</v>
      </c>
      <c r="BN37" s="2">
        <v>0</v>
      </c>
      <c r="BO37" s="2">
        <v>0</v>
      </c>
      <c r="BP37" s="2"/>
      <c r="BQ37" s="2"/>
      <c r="BR37" s="2"/>
      <c r="BS37" s="2"/>
      <c r="BT37" s="2">
        <v>0</v>
      </c>
      <c r="BU37" s="2">
        <v>0</v>
      </c>
      <c r="BV37" s="2">
        <v>0</v>
      </c>
      <c r="BW37" s="2">
        <v>0</v>
      </c>
      <c r="BX37" s="2"/>
      <c r="BY37" s="2"/>
      <c r="BZ37" s="2"/>
      <c r="CA37" s="2"/>
    </row>
    <row r="38" spans="6:79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25"/>
      <c r="BD38" s="225"/>
      <c r="BE38" s="225"/>
      <c r="BF38" s="2">
        <v>0</v>
      </c>
      <c r="BG38" s="47">
        <v>0</v>
      </c>
      <c r="BH38" s="2">
        <v>0</v>
      </c>
      <c r="BI38" s="2"/>
      <c r="BJ38" s="2"/>
      <c r="BK38" s="2"/>
      <c r="BL38" s="2"/>
      <c r="BM38" s="2">
        <v>0</v>
      </c>
      <c r="BN38" s="47">
        <v>0</v>
      </c>
      <c r="BO38" s="2">
        <v>0</v>
      </c>
      <c r="BP38" s="2"/>
      <c r="BQ38" s="2"/>
      <c r="BR38" s="2"/>
      <c r="BS38" s="2"/>
      <c r="BT38" s="2">
        <v>0</v>
      </c>
      <c r="BU38" s="2">
        <v>0</v>
      </c>
      <c r="BV38" s="2">
        <v>0</v>
      </c>
      <c r="BW38" s="2">
        <v>0</v>
      </c>
      <c r="BX38" s="2"/>
      <c r="BY38" s="2"/>
      <c r="BZ38" s="2"/>
      <c r="CA38" s="2"/>
    </row>
    <row r="41" spans="6:79" ht="15.75" thickBot="1" x14ac:dyDescent="0.3"/>
    <row r="42" spans="6:79" ht="15.75" thickBot="1" x14ac:dyDescent="0.3">
      <c r="F42" s="237" t="s">
        <v>71</v>
      </c>
      <c r="G42" s="238"/>
      <c r="H42" s="239"/>
      <c r="K42" s="242" t="s">
        <v>508</v>
      </c>
      <c r="L42" s="243"/>
    </row>
    <row r="43" spans="6:79" ht="31.5" x14ac:dyDescent="0.25">
      <c r="F43" s="36" t="s">
        <v>20</v>
      </c>
      <c r="G43" s="37" t="s">
        <v>21</v>
      </c>
      <c r="H43" s="38" t="s">
        <v>22</v>
      </c>
      <c r="K43" s="150" t="s">
        <v>509</v>
      </c>
      <c r="L43" s="150">
        <v>1</v>
      </c>
    </row>
    <row r="44" spans="6:79" x14ac:dyDescent="0.25">
      <c r="F44" s="27">
        <v>125</v>
      </c>
      <c r="G44" s="28"/>
      <c r="H44" s="29"/>
      <c r="K44" s="150" t="s">
        <v>512</v>
      </c>
      <c r="L44" s="150">
        <v>0</v>
      </c>
    </row>
    <row r="45" spans="6:79" x14ac:dyDescent="0.25">
      <c r="F45" s="27">
        <v>100</v>
      </c>
      <c r="G45" s="28"/>
      <c r="H45" s="29"/>
      <c r="K45" s="150" t="s">
        <v>510</v>
      </c>
      <c r="L45" s="150">
        <v>1</v>
      </c>
    </row>
    <row r="46" spans="6:79" x14ac:dyDescent="0.25">
      <c r="F46" s="27">
        <v>63</v>
      </c>
      <c r="G46" s="28"/>
      <c r="H46" s="29"/>
      <c r="K46" s="150" t="s">
        <v>511</v>
      </c>
      <c r="L46" s="150">
        <v>0</v>
      </c>
    </row>
    <row r="47" spans="6:79" x14ac:dyDescent="0.25">
      <c r="F47" s="27">
        <v>40</v>
      </c>
      <c r="G47" s="28"/>
      <c r="H47" s="29"/>
      <c r="K47" s="150" t="s">
        <v>513</v>
      </c>
      <c r="L47" s="150">
        <v>0</v>
      </c>
    </row>
    <row r="48" spans="6:79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6" spans="3:8" ht="15.75" customHeight="1" x14ac:dyDescent="0.25">
      <c r="C56" s="231" t="s">
        <v>618</v>
      </c>
      <c r="D56" s="231"/>
    </row>
    <row r="57" spans="3:8" x14ac:dyDescent="0.25">
      <c r="C57" s="230" t="s">
        <v>509</v>
      </c>
      <c r="D57" s="230">
        <v>0</v>
      </c>
    </row>
    <row r="58" spans="3:8" x14ac:dyDescent="0.25">
      <c r="C58" s="230" t="s">
        <v>512</v>
      </c>
      <c r="D58" s="230">
        <v>0</v>
      </c>
    </row>
    <row r="59" spans="3:8" x14ac:dyDescent="0.25">
      <c r="C59" s="230" t="s">
        <v>510</v>
      </c>
      <c r="D59" s="230" t="s">
        <v>619</v>
      </c>
    </row>
    <row r="60" spans="3:8" x14ac:dyDescent="0.25">
      <c r="C60" s="230" t="s">
        <v>511</v>
      </c>
      <c r="D60" s="230" t="s">
        <v>619</v>
      </c>
    </row>
    <row r="61" spans="3:8" x14ac:dyDescent="0.25">
      <c r="C61" s="230" t="s">
        <v>513</v>
      </c>
      <c r="D61" s="230" t="s">
        <v>619</v>
      </c>
    </row>
  </sheetData>
  <mergeCells count="7">
    <mergeCell ref="C56:D56"/>
    <mergeCell ref="K3:CA3"/>
    <mergeCell ref="A3:C3"/>
    <mergeCell ref="F3:H3"/>
    <mergeCell ref="A9:B9"/>
    <mergeCell ref="F42:H42"/>
    <mergeCell ref="K42:L42"/>
  </mergeCells>
  <phoneticPr fontId="7" type="noConversion"/>
  <conditionalFormatting sqref="K6:M37 U13:Z37 U6:W12 Y6:AA6 Y7:Z12 AA7:AA37 BM6:BU37 BX6:CA37 AO13:BK37 AO6:AU12 AV8:AV12 AW6:AY12 AE6:AG37 BA6:BB12 BF7:BK12 BF6:BJ6">
    <cfRule type="cellIs" dxfId="82" priority="28" operator="equal">
      <formula>0</formula>
    </cfRule>
  </conditionalFormatting>
  <conditionalFormatting sqref="K38:M38 U38:AG38 AO38:AP38">
    <cfRule type="cellIs" dxfId="81" priority="27" operator="equal">
      <formula>0</formula>
    </cfRule>
  </conditionalFormatting>
  <conditionalFormatting sqref="AQ38:AW38">
    <cfRule type="cellIs" dxfId="80" priority="26" operator="equal">
      <formula>0</formula>
    </cfRule>
  </conditionalFormatting>
  <conditionalFormatting sqref="AX38:BU38 BX38:CA38">
    <cfRule type="cellIs" dxfId="79" priority="25" operator="equal">
      <formula>0</formula>
    </cfRule>
  </conditionalFormatting>
  <conditionalFormatting sqref="N6:T23 N24:N37 P24:T37">
    <cfRule type="cellIs" dxfId="78" priority="24" operator="equal">
      <formula>0</formula>
    </cfRule>
  </conditionalFormatting>
  <conditionalFormatting sqref="N38:T38">
    <cfRule type="cellIs" dxfId="77" priority="23" operator="equal">
      <formula>0</formula>
    </cfRule>
  </conditionalFormatting>
  <conditionalFormatting sqref="AH6:AH15">
    <cfRule type="cellIs" dxfId="76" priority="22" operator="equal">
      <formula>0</formula>
    </cfRule>
  </conditionalFormatting>
  <conditionalFormatting sqref="AJ38:AN38">
    <cfRule type="cellIs" dxfId="75" priority="21" operator="equal">
      <formula>0</formula>
    </cfRule>
  </conditionalFormatting>
  <conditionalFormatting sqref="AH16:AH37">
    <cfRule type="cellIs" dxfId="74" priority="20" operator="equal">
      <formula>0</formula>
    </cfRule>
  </conditionalFormatting>
  <conditionalFormatting sqref="AH38">
    <cfRule type="cellIs" dxfId="73" priority="19" operator="equal">
      <formula>0</formula>
    </cfRule>
  </conditionalFormatting>
  <conditionalFormatting sqref="AI16:AI37">
    <cfRule type="cellIs" dxfId="72" priority="18" operator="equal">
      <formula>0</formula>
    </cfRule>
  </conditionalFormatting>
  <conditionalFormatting sqref="AI38">
    <cfRule type="cellIs" dxfId="71" priority="17" operator="equal">
      <formula>0</formula>
    </cfRule>
  </conditionalFormatting>
  <conditionalFormatting sqref="AJ6:AK6 AJ7 AK7:AK15">
    <cfRule type="cellIs" dxfId="70" priority="16" operator="equal">
      <formula>0</formula>
    </cfRule>
  </conditionalFormatting>
  <conditionalFormatting sqref="AJ8:AJ11">
    <cfRule type="cellIs" dxfId="69" priority="15" operator="equal">
      <formula>0</formula>
    </cfRule>
  </conditionalFormatting>
  <conditionalFormatting sqref="AJ12:AJ14">
    <cfRule type="cellIs" dxfId="68" priority="14" operator="equal">
      <formula>0</formula>
    </cfRule>
  </conditionalFormatting>
  <conditionalFormatting sqref="AJ16:AK36 AJ15">
    <cfRule type="cellIs" dxfId="67" priority="13" operator="equal">
      <formula>0</formula>
    </cfRule>
  </conditionalFormatting>
  <conditionalFormatting sqref="AJ37:AK37">
    <cfRule type="cellIs" dxfId="66" priority="12" operator="equal">
      <formula>0</formula>
    </cfRule>
  </conditionalFormatting>
  <conditionalFormatting sqref="BV6:BV37">
    <cfRule type="cellIs" dxfId="65" priority="11" operator="equal">
      <formula>0</formula>
    </cfRule>
  </conditionalFormatting>
  <conditionalFormatting sqref="BV38">
    <cfRule type="cellIs" dxfId="64" priority="10" operator="equal">
      <formula>0</formula>
    </cfRule>
  </conditionalFormatting>
  <conditionalFormatting sqref="BW6:BW37">
    <cfRule type="cellIs" dxfId="63" priority="9" operator="equal">
      <formula>0</formula>
    </cfRule>
  </conditionalFormatting>
  <conditionalFormatting sqref="BW38">
    <cfRule type="cellIs" dxfId="62" priority="8" operator="equal">
      <formula>0</formula>
    </cfRule>
  </conditionalFormatting>
  <conditionalFormatting sqref="X6:X12">
    <cfRule type="cellIs" dxfId="61" priority="7" operator="equal">
      <formula>0</formula>
    </cfRule>
  </conditionalFormatting>
  <conditionalFormatting sqref="AV6:AV7">
    <cfRule type="cellIs" dxfId="60" priority="6" operator="equal">
      <formula>0</formula>
    </cfRule>
  </conditionalFormatting>
  <conditionalFormatting sqref="AL6:AN37">
    <cfRule type="cellIs" dxfId="59" priority="5" operator="equal">
      <formula>0</formula>
    </cfRule>
  </conditionalFormatting>
  <conditionalFormatting sqref="AB6:AD37">
    <cfRule type="cellIs" dxfId="58" priority="4" operator="equal">
      <formula>0</formula>
    </cfRule>
  </conditionalFormatting>
  <conditionalFormatting sqref="BC6:BE12">
    <cfRule type="cellIs" dxfId="57" priority="3" operator="equal">
      <formula>0</formula>
    </cfRule>
  </conditionalFormatting>
  <conditionalFormatting sqref="O24:O37">
    <cfRule type="cellIs" dxfId="1" priority="2" operator="equal">
      <formula>0</formula>
    </cfRule>
  </conditionalFormatting>
  <conditionalFormatting sqref="AI6:AI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B1" sqref="B1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170</v>
      </c>
      <c r="B1" t="s">
        <v>330</v>
      </c>
    </row>
    <row r="2" spans="1:2" x14ac:dyDescent="0.25">
      <c r="A2" t="s">
        <v>171</v>
      </c>
      <c r="B2" t="s">
        <v>375</v>
      </c>
    </row>
    <row r="3" spans="1:2" x14ac:dyDescent="0.25">
      <c r="A3" t="s">
        <v>170</v>
      </c>
      <c r="B3" t="s">
        <v>345</v>
      </c>
    </row>
    <row r="4" spans="1:2" x14ac:dyDescent="0.25">
      <c r="A4" t="s">
        <v>171</v>
      </c>
      <c r="B4" t="s">
        <v>375</v>
      </c>
    </row>
    <row r="5" spans="1:2" x14ac:dyDescent="0.25">
      <c r="A5" t="s">
        <v>170</v>
      </c>
      <c r="B5" t="s">
        <v>346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AC7"/>
  <sheetViews>
    <sheetView workbookViewId="0">
      <selection activeCell="AB7" sqref="AB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9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80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"/>
      <c r="Z4" s="1"/>
      <c r="AA4" s="1"/>
      <c r="AB4" s="1"/>
    </row>
    <row r="5" spans="1:29" ht="150" x14ac:dyDescent="0.25">
      <c r="B5" s="63"/>
      <c r="C5" s="63"/>
      <c r="D5" s="125" t="s">
        <v>331</v>
      </c>
      <c r="E5" s="125" t="s">
        <v>332</v>
      </c>
      <c r="F5" s="125" t="s">
        <v>333</v>
      </c>
      <c r="G5" s="125" t="s">
        <v>342</v>
      </c>
      <c r="H5" s="125" t="s">
        <v>334</v>
      </c>
      <c r="I5" s="125" t="s">
        <v>347</v>
      </c>
      <c r="J5" s="125" t="s">
        <v>348</v>
      </c>
      <c r="K5" s="125" t="s">
        <v>349</v>
      </c>
      <c r="L5" s="125" t="s">
        <v>350</v>
      </c>
      <c r="M5" s="125" t="s">
        <v>351</v>
      </c>
      <c r="N5" s="125" t="s">
        <v>352</v>
      </c>
      <c r="O5" s="125" t="s">
        <v>353</v>
      </c>
      <c r="P5" s="125" t="s">
        <v>354</v>
      </c>
      <c r="Q5" s="81" t="s">
        <v>355</v>
      </c>
      <c r="R5" s="125" t="s">
        <v>356</v>
      </c>
      <c r="S5" s="125" t="s">
        <v>357</v>
      </c>
      <c r="T5" s="125" t="s">
        <v>358</v>
      </c>
      <c r="U5" s="125" t="s">
        <v>359</v>
      </c>
      <c r="V5" s="125" t="s">
        <v>342</v>
      </c>
      <c r="W5" s="125" t="s">
        <v>360</v>
      </c>
      <c r="X5" s="126" t="s">
        <v>378</v>
      </c>
      <c r="Y5" s="127" t="s">
        <v>490</v>
      </c>
      <c r="Z5" s="127" t="s">
        <v>491</v>
      </c>
      <c r="AA5" s="128" t="s">
        <v>492</v>
      </c>
      <c r="AB5" s="128" t="s">
        <v>493</v>
      </c>
      <c r="AC5" s="63"/>
    </row>
    <row r="6" spans="1:29" ht="60" x14ac:dyDescent="0.25">
      <c r="B6" s="129" t="s">
        <v>2</v>
      </c>
      <c r="C6" s="129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130"/>
      <c r="R6" s="63"/>
      <c r="S6" s="63"/>
      <c r="T6" s="63"/>
      <c r="U6" s="63"/>
      <c r="V6" s="63"/>
      <c r="W6" s="63"/>
      <c r="X6" s="131"/>
      <c r="Y6" s="132"/>
      <c r="Z6" s="132"/>
      <c r="AA6" s="128"/>
      <c r="AB6" s="128"/>
      <c r="AC6" s="63"/>
    </row>
    <row r="7" spans="1:29" x14ac:dyDescent="0.25">
      <c r="B7" s="63" t="s">
        <v>377</v>
      </c>
      <c r="C7" s="63" t="str">
        <f>IF(COUNTIF($B$7:B7,B7)=1,"&lt;zzzimport&gt;",1)</f>
        <v>&lt;zzzimport&gt;</v>
      </c>
      <c r="D7" s="123">
        <f>'&lt;zallcab&gt;EXPORT'!E6</f>
        <v>0</v>
      </c>
      <c r="E7" s="123">
        <f>'&lt;zallcab&gt;EXPORT'!H6</f>
        <v>0</v>
      </c>
      <c r="F7" s="123" t="str">
        <f>'&lt;zallcab&gt;EXPORT'!K6</f>
        <v>&lt;zcabdevfinish&gt;</v>
      </c>
      <c r="G7" s="123">
        <f>'&lt;zallcab&gt;EXPORT'!P6</f>
        <v>0</v>
      </c>
      <c r="H7" s="123">
        <f>'&lt;zallcab&gt;EXPORT'!M6</f>
        <v>0</v>
      </c>
      <c r="I7" s="123">
        <v>1</v>
      </c>
      <c r="J7" s="123" t="e">
        <f>INDEX(BDzallcab!$C$4:$C$9,MATCH(G7,BDzallcab!$B$4:$B$9))</f>
        <v>#N/A</v>
      </c>
      <c r="K7" s="123">
        <f>SUMIFS(I7:$I$700000,D7:$D$700000,D7,G7:$G$700000,G7)</f>
        <v>1</v>
      </c>
      <c r="L7" s="123">
        <f>MATCH(D7,$D$7:D7,0)</f>
        <v>1</v>
      </c>
      <c r="M7" s="123">
        <f>SUMIFS(I7:$I$700000,D7:$D$700000,D7)</f>
        <v>1</v>
      </c>
      <c r="N7" s="123" t="str">
        <f>INDEX($F$7:$F$700000,L7+M7-1)</f>
        <v>&lt;zcabdevfinish&gt;</v>
      </c>
      <c r="O7" s="123" t="str">
        <f>INDEX($N$7:$N$700000,MATCH(D7,$D$7:D7,0))</f>
        <v>&lt;zcabdevfinish&gt;</v>
      </c>
      <c r="P7" s="123">
        <f>SUMIFS($H$7:H7,$D$7:D7,D7,$G$7:G7,G7)</f>
        <v>0</v>
      </c>
      <c r="Q7" s="133">
        <f t="shared" ref="Q7" si="1">IF(K7=1,1,0)</f>
        <v>1</v>
      </c>
      <c r="R7" s="123">
        <f>IF(SUMIFS($Q$7:Q7,$D$7:D7,D7)=1,1,0)</f>
        <v>1</v>
      </c>
      <c r="S7" s="123">
        <f t="shared" ref="S7" si="2">IF(R7=1,D7," ")</f>
        <v>0</v>
      </c>
      <c r="T7" s="123">
        <f t="shared" ref="T7" si="3">IF(R7=1,E7," ")</f>
        <v>0</v>
      </c>
      <c r="U7" s="123" t="str">
        <f t="shared" ref="U7" si="4">IF(R7=1,O7," ")</f>
        <v>&lt;zcabdevfinish&gt;</v>
      </c>
      <c r="V7" s="123">
        <f>IF(Q7=1,G7," ")</f>
        <v>0</v>
      </c>
      <c r="W7" s="123">
        <f t="shared" ref="W7" si="5">IF(Q7=1,P7," ")</f>
        <v>0</v>
      </c>
      <c r="X7" s="53">
        <f>SUMIFS($H$7:$H$700000,$D$7:$D$700000,D7)</f>
        <v>0</v>
      </c>
      <c r="Y7" s="134"/>
      <c r="Z7" s="134"/>
      <c r="AA7" s="128">
        <f>INDEX($Y$7:Y7,MATCH(D7,$D$7:D7,0))</f>
        <v>0</v>
      </c>
      <c r="AB7" s="128">
        <f>INDEX($Z$7:Z7,MATCH(D7,$D$7:D7,0))</f>
        <v>0</v>
      </c>
      <c r="AC7" s="63" t="s">
        <v>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1:AS7"/>
  <sheetViews>
    <sheetView workbookViewId="0">
      <selection activeCell="M16" sqref="M16"/>
    </sheetView>
  </sheetViews>
  <sheetFormatPr defaultRowHeight="15" x14ac:dyDescent="0.25"/>
  <cols>
    <col min="2" max="33" width="7.7109375" customWidth="1"/>
  </cols>
  <sheetData>
    <row r="1" spans="2:45" x14ac:dyDescent="0.25">
      <c r="C1" s="255" t="s">
        <v>436</v>
      </c>
      <c r="D1" s="255"/>
      <c r="L1" s="254" t="s">
        <v>474</v>
      </c>
      <c r="M1" s="254"/>
      <c r="N1" s="254"/>
      <c r="O1" s="254"/>
      <c r="P1" s="254"/>
      <c r="Q1" s="254"/>
      <c r="R1" s="254"/>
      <c r="S1" s="254"/>
    </row>
    <row r="2" spans="2:45" x14ac:dyDescent="0.25">
      <c r="C2" s="105" t="s">
        <v>424</v>
      </c>
      <c r="D2" s="105">
        <v>1</v>
      </c>
    </row>
    <row r="3" spans="2:45" x14ac:dyDescent="0.25">
      <c r="C3" s="105" t="s">
        <v>425</v>
      </c>
      <c r="D3" s="105">
        <f>D2</f>
        <v>1</v>
      </c>
      <c r="N3" t="s">
        <v>475</v>
      </c>
      <c r="O3" t="s">
        <v>476</v>
      </c>
      <c r="P3" t="s">
        <v>477</v>
      </c>
      <c r="Q3" t="s">
        <v>478</v>
      </c>
      <c r="R3" t="s">
        <v>479</v>
      </c>
    </row>
    <row r="4" spans="2:45" x14ac:dyDescent="0.25">
      <c r="L4" t="s">
        <v>209</v>
      </c>
      <c r="M4" s="1" t="s">
        <v>480</v>
      </c>
      <c r="N4" s="135">
        <v>0</v>
      </c>
      <c r="O4" s="135">
        <v>0</v>
      </c>
      <c r="P4" s="136">
        <f>D2</f>
        <v>1</v>
      </c>
      <c r="Q4" s="136">
        <f>D3</f>
        <v>1</v>
      </c>
      <c r="R4" s="137">
        <v>0</v>
      </c>
      <c r="S4" t="s">
        <v>191</v>
      </c>
    </row>
    <row r="6" spans="2:45" x14ac:dyDescent="0.25">
      <c r="C6" s="1" t="s">
        <v>373</v>
      </c>
      <c r="D6" s="1" t="s">
        <v>165</v>
      </c>
      <c r="E6" s="1" t="s">
        <v>374</v>
      </c>
      <c r="F6" s="1" t="s">
        <v>342</v>
      </c>
      <c r="G6" s="1" t="s">
        <v>231</v>
      </c>
      <c r="H6" s="1" t="s">
        <v>494</v>
      </c>
      <c r="I6" s="1" t="s">
        <v>334</v>
      </c>
      <c r="K6" s="110" t="s">
        <v>495</v>
      </c>
      <c r="N6" s="138"/>
      <c r="O6" s="135">
        <f>-24*D3</f>
        <v>-24</v>
      </c>
      <c r="P6" s="136"/>
      <c r="Q6" s="136"/>
      <c r="R6" s="137"/>
    </row>
    <row r="7" spans="2:45" x14ac:dyDescent="0.25">
      <c r="B7" t="s">
        <v>376</v>
      </c>
      <c r="C7" s="1">
        <f>'&lt;zallcab&gt;CALC'!S7</f>
        <v>0</v>
      </c>
      <c r="D7" s="1">
        <f>'&lt;zallcab&gt;CALC'!T7</f>
        <v>0</v>
      </c>
      <c r="E7" s="1" t="str">
        <f>'&lt;zallcab&gt;CALC'!U7</f>
        <v>&lt;zcabdevfinish&gt;</v>
      </c>
      <c r="F7" s="1" t="e">
        <f>'&lt;zallcab&gt;CALC'!J7</f>
        <v>#N/A</v>
      </c>
      <c r="G7" s="1">
        <f>'&lt;zallcab&gt;CALC'!AA7</f>
        <v>0</v>
      </c>
      <c r="H7" s="1">
        <f>'&lt;zallcab&gt;CALC'!AB7</f>
        <v>0</v>
      </c>
      <c r="I7" s="1">
        <f>'&lt;zallcab&gt;CALC'!W7</f>
        <v>0</v>
      </c>
      <c r="K7" s="110">
        <v>1</v>
      </c>
      <c r="L7" t="s">
        <v>209</v>
      </c>
      <c r="M7" s="1" t="s">
        <v>481</v>
      </c>
      <c r="N7" s="138">
        <v>0</v>
      </c>
      <c r="O7" s="135">
        <f>INDEX($O$6:O6,SUM($K$7:K7))-(8*Q7)</f>
        <v>-32</v>
      </c>
      <c r="P7" s="136">
        <f>$D$2</f>
        <v>1</v>
      </c>
      <c r="Q7" s="136">
        <f>$D$3</f>
        <v>1</v>
      </c>
      <c r="R7" s="137">
        <v>0</v>
      </c>
      <c r="S7" s="139" t="s">
        <v>482</v>
      </c>
      <c r="T7" s="124" t="str">
        <f>IF(C7=0,"",C7)</f>
        <v/>
      </c>
      <c r="U7" s="140" t="s">
        <v>483</v>
      </c>
      <c r="V7" s="140" t="str">
        <f>IF(C7=0,"",D7)</f>
        <v/>
      </c>
      <c r="W7" s="141" t="s">
        <v>484</v>
      </c>
      <c r="X7" s="142" t="str">
        <f>IF(C7=0,"",E7)</f>
        <v/>
      </c>
      <c r="Y7" s="141" t="s">
        <v>485</v>
      </c>
      <c r="Z7" s="140" t="str">
        <f>IF(C7=0,"",F7)</f>
        <v/>
      </c>
      <c r="AA7" s="143" t="s">
        <v>486</v>
      </c>
      <c r="AB7" s="144" t="str">
        <f>IF(C7=0,"",G7)</f>
        <v/>
      </c>
      <c r="AC7" s="145" t="s">
        <v>487</v>
      </c>
      <c r="AD7" s="144" t="str">
        <f>IF(C7=0,"",H7)</f>
        <v/>
      </c>
      <c r="AE7" s="145" t="s">
        <v>488</v>
      </c>
      <c r="AF7" s="146" t="str">
        <f>IF(C7=0,"",I7)</f>
        <v/>
      </c>
      <c r="AG7" t="s">
        <v>191</v>
      </c>
      <c r="AI7" s="147"/>
      <c r="AO7" t="s">
        <v>189</v>
      </c>
      <c r="AS7" s="147"/>
    </row>
  </sheetData>
  <mergeCells count="2">
    <mergeCell ref="L1:S1"/>
    <mergeCell ref="C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7"/>
  <sheetViews>
    <sheetView workbookViewId="0">
      <selection activeCell="I31" sqref="I31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171</v>
      </c>
      <c r="B1" t="str">
        <f>"&lt;zsetvaluetocell toSheet=[zalldevEXPORT]  toCell=[F4] value=[&lt;zlight&gt;]"</f>
        <v>&lt;zsetvaluetocell toSheet=[zalldevEXPORT]  toCell=[F4] value=[&lt;zlight&gt;]</v>
      </c>
    </row>
    <row r="2" spans="1:2" x14ac:dyDescent="0.25">
      <c r="A2" t="s">
        <v>468</v>
      </c>
    </row>
    <row r="3" spans="1:2" x14ac:dyDescent="0.25">
      <c r="A3" t="s">
        <v>170</v>
      </c>
      <c r="B3" t="s">
        <v>396</v>
      </c>
    </row>
    <row r="4" spans="1:2" x14ac:dyDescent="0.25">
      <c r="A4" t="s">
        <v>170</v>
      </c>
      <c r="B4" t="s">
        <v>0</v>
      </c>
    </row>
    <row r="5" spans="1:2" x14ac:dyDescent="0.25">
      <c r="A5" t="s">
        <v>468</v>
      </c>
    </row>
    <row r="6" spans="1:2" x14ac:dyDescent="0.25">
      <c r="A6" t="s">
        <v>469</v>
      </c>
      <c r="B6" t="s">
        <v>0</v>
      </c>
    </row>
    <row r="7" spans="1:2" x14ac:dyDescent="0.25">
      <c r="A7" t="s">
        <v>172</v>
      </c>
      <c r="B7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171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170</v>
      </c>
      <c r="B2" t="s">
        <v>0</v>
      </c>
    </row>
    <row r="3" spans="1:2" x14ac:dyDescent="0.25">
      <c r="A3" t="s">
        <v>172</v>
      </c>
      <c r="B3" t="s">
        <v>314</v>
      </c>
    </row>
    <row r="4" spans="1:2" x14ac:dyDescent="0.25">
      <c r="A4" t="s">
        <v>171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170</v>
      </c>
      <c r="B5" t="s">
        <v>0</v>
      </c>
    </row>
    <row r="6" spans="1:2" x14ac:dyDescent="0.25">
      <c r="A6" t="s">
        <v>172</v>
      </c>
      <c r="B6" t="s">
        <v>314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B7" sqref="B7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75" t="s">
        <v>1</v>
      </c>
      <c r="E5" s="75" t="s">
        <v>323</v>
      </c>
      <c r="F5" s="75" t="s">
        <v>165</v>
      </c>
      <c r="G5" s="75" t="s">
        <v>178</v>
      </c>
      <c r="H5" s="75" t="s">
        <v>7</v>
      </c>
      <c r="I5" s="75" t="s">
        <v>397</v>
      </c>
      <c r="J5" s="75" t="s">
        <v>398</v>
      </c>
      <c r="K5" s="75" t="s">
        <v>399</v>
      </c>
      <c r="L5" s="79"/>
      <c r="M5" s="79"/>
    </row>
    <row r="6" spans="1:14" x14ac:dyDescent="0.25">
      <c r="B6" t="s">
        <v>601</v>
      </c>
      <c r="C6" t="s">
        <v>318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'&lt;zalldev&gt;EXPORT'!BG11</f>
        <v>0</v>
      </c>
      <c r="J6" s="52">
        <f>'&lt;zalldev&gt;EXPORT'!BF11</f>
        <v>0</v>
      </c>
      <c r="K6" s="52">
        <v>1</v>
      </c>
      <c r="L6" t="s">
        <v>319</v>
      </c>
      <c r="M6" t="s">
        <v>189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JB28"/>
  <sheetViews>
    <sheetView topLeftCell="A7" workbookViewId="0">
      <selection activeCell="O22" sqref="O22"/>
    </sheetView>
  </sheetViews>
  <sheetFormatPr defaultRowHeight="15" x14ac:dyDescent="0.25"/>
  <cols>
    <col min="1" max="2" width="2.7109375" customWidth="1"/>
    <col min="3" max="3" width="4.85546875" customWidth="1"/>
    <col min="5" max="7" width="7.7109375" customWidth="1"/>
    <col min="8" max="8" width="40.7109375" customWidth="1"/>
    <col min="9" max="9" width="35.7109375" customWidth="1"/>
    <col min="10" max="10" width="5.7109375" customWidth="1"/>
    <col min="11" max="11" width="35.7109375" customWidth="1"/>
    <col min="12" max="14" width="7.7109375" customWidth="1"/>
    <col min="15" max="15" width="25.7109375" customWidth="1"/>
    <col min="17" max="18" width="10.28515625" bestFit="1" customWidth="1"/>
    <col min="35" max="37" width="5.7109375" customWidth="1"/>
    <col min="43" max="45" width="5.7109375" customWidth="1"/>
    <col min="56" max="56" width="5.140625" customWidth="1"/>
    <col min="57" max="65" width="5.7109375" customWidth="1"/>
    <col min="66" max="77" width="6.7109375" customWidth="1"/>
    <col min="78" max="78" width="12.7109375" customWidth="1"/>
    <col min="79" max="79" width="15.7109375" customWidth="1"/>
    <col min="80" max="83" width="5.28515625" customWidth="1"/>
    <col min="84" max="95" width="6.7109375" customWidth="1"/>
    <col min="96" max="96" width="10.7109375" customWidth="1"/>
    <col min="97" max="97" width="15.7109375" customWidth="1"/>
    <col min="100" max="100" width="10.28515625" bestFit="1" customWidth="1"/>
    <col min="101" max="106" width="10.28515625" customWidth="1"/>
    <col min="107" max="108" width="12.7109375" customWidth="1"/>
    <col min="110" max="171" width="7.7109375" customWidth="1"/>
    <col min="172" max="174" width="9" customWidth="1"/>
    <col min="197" max="197" width="11" customWidth="1"/>
  </cols>
  <sheetData>
    <row r="1" spans="4:57" x14ac:dyDescent="0.25">
      <c r="D1" s="1">
        <f>'&lt;zlight&gt;'!F20</f>
        <v>0</v>
      </c>
      <c r="E1" s="1">
        <f ca="1">U6</f>
        <v>0</v>
      </c>
      <c r="F1" s="1">
        <f>U8</f>
        <v>0.92</v>
      </c>
      <c r="G1" s="1">
        <f>H11</f>
        <v>380</v>
      </c>
      <c r="H1" s="1" t="str">
        <f>H12</f>
        <v>АВС</v>
      </c>
    </row>
    <row r="4" spans="4:57" ht="18" customHeight="1" x14ac:dyDescent="0.25">
      <c r="D4" s="260" t="s">
        <v>313</v>
      </c>
      <c r="E4" s="260"/>
      <c r="F4" s="260"/>
      <c r="G4" s="260"/>
      <c r="H4" s="260"/>
      <c r="I4" s="66" t="s">
        <v>312</v>
      </c>
      <c r="J4" s="96"/>
      <c r="K4" s="96"/>
      <c r="P4" s="66"/>
      <c r="Q4" s="260" t="s">
        <v>311</v>
      </c>
      <c r="R4" s="260"/>
      <c r="S4" s="260"/>
      <c r="T4" s="260"/>
      <c r="U4" s="260"/>
      <c r="V4" s="260"/>
      <c r="Z4" s="255" t="s">
        <v>436</v>
      </c>
      <c r="AA4" s="255"/>
      <c r="AU4" s="102" t="s">
        <v>403</v>
      </c>
      <c r="AV4" s="102" t="s">
        <v>404</v>
      </c>
      <c r="AW4" s="102"/>
      <c r="AX4" s="102" t="s">
        <v>165</v>
      </c>
      <c r="AY4" s="102"/>
      <c r="AZ4" s="102" t="s">
        <v>402</v>
      </c>
      <c r="BA4" s="102" t="s">
        <v>407</v>
      </c>
      <c r="BB4" s="102" t="s">
        <v>401</v>
      </c>
      <c r="BC4" s="102" t="s">
        <v>405</v>
      </c>
      <c r="BD4" s="102" t="s">
        <v>408</v>
      </c>
    </row>
    <row r="5" spans="4:57" x14ac:dyDescent="0.25">
      <c r="D5" s="261" t="s">
        <v>310</v>
      </c>
      <c r="E5" s="261"/>
      <c r="F5" s="261"/>
      <c r="G5" s="261"/>
      <c r="H5" s="106">
        <f>AU5</f>
        <v>0</v>
      </c>
      <c r="I5" s="65" t="s">
        <v>309</v>
      </c>
      <c r="J5" s="97"/>
      <c r="K5" s="97"/>
      <c r="P5" s="65" t="s">
        <v>308</v>
      </c>
      <c r="Q5" s="262" t="s">
        <v>307</v>
      </c>
      <c r="R5" s="262"/>
      <c r="S5" s="262"/>
      <c r="T5" s="262"/>
      <c r="U5" s="262">
        <f ca="1">ROUNDUP(SUM($AC$26:$AC$900000),2)</f>
        <v>0</v>
      </c>
      <c r="V5" s="262"/>
      <c r="Z5" s="105" t="s">
        <v>424</v>
      </c>
      <c r="AA5" s="105">
        <v>1</v>
      </c>
      <c r="AT5" t="s">
        <v>400</v>
      </c>
      <c r="AU5" s="52">
        <f>'&lt;zlight&gt;TEMPGU'!D6</f>
        <v>0</v>
      </c>
      <c r="AV5" s="52">
        <f>'&lt;zlight&gt;TEMPGU'!E6</f>
        <v>0</v>
      </c>
      <c r="AW5" s="52"/>
      <c r="AX5" s="52">
        <f>'&lt;zlight&gt;TEMPGU'!F6</f>
        <v>0</v>
      </c>
      <c r="AY5" s="52"/>
      <c r="AZ5" s="52">
        <f>'&lt;zlight&gt;TEMPGU'!G6</f>
        <v>0</v>
      </c>
      <c r="BA5" s="52">
        <f>'&lt;zlight&gt;TEMPGU'!H6</f>
        <v>0</v>
      </c>
      <c r="BB5" s="52" t="str">
        <f>'&lt;zlight&gt;TEMPGU'!I6</f>
        <v>0</v>
      </c>
      <c r="BC5" s="52">
        <f>'&lt;zlight&gt;TEMPGU'!J6</f>
        <v>0</v>
      </c>
      <c r="BD5" s="103">
        <f>IF(BC5=0,0,1)</f>
        <v>0</v>
      </c>
      <c r="BE5" t="s">
        <v>189</v>
      </c>
    </row>
    <row r="6" spans="4:57" x14ac:dyDescent="0.25">
      <c r="D6" s="263" t="s">
        <v>306</v>
      </c>
      <c r="E6" s="263"/>
      <c r="F6" s="263"/>
      <c r="G6" s="263"/>
      <c r="H6" s="95" t="s">
        <v>443</v>
      </c>
      <c r="I6" s="65" t="s">
        <v>305</v>
      </c>
      <c r="J6" s="97"/>
      <c r="K6" s="97"/>
      <c r="P6" s="65">
        <v>63</v>
      </c>
      <c r="Q6" s="262" t="s">
        <v>304</v>
      </c>
      <c r="R6" s="262"/>
      <c r="S6" s="262"/>
      <c r="T6" s="262"/>
      <c r="U6" s="262">
        <f ca="1">ROUNDUP(U5*U11,2)</f>
        <v>0</v>
      </c>
      <c r="V6" s="262"/>
      <c r="Z6" s="105" t="s">
        <v>425</v>
      </c>
      <c r="AA6" s="105">
        <v>1</v>
      </c>
    </row>
    <row r="7" spans="4:57" x14ac:dyDescent="0.25">
      <c r="D7" s="256" t="s">
        <v>303</v>
      </c>
      <c r="E7" s="256"/>
      <c r="F7" s="256"/>
      <c r="G7" s="256"/>
      <c r="H7" s="62">
        <v>45399</v>
      </c>
      <c r="I7" s="65" t="s">
        <v>302</v>
      </c>
      <c r="J7" s="97"/>
      <c r="K7" s="97"/>
      <c r="P7" s="65">
        <v>32</v>
      </c>
      <c r="Q7" s="262" t="s">
        <v>301</v>
      </c>
      <c r="R7" s="262"/>
      <c r="S7" s="262"/>
      <c r="T7" s="262"/>
      <c r="U7" s="262">
        <f ca="1">ROUNDUP((U6*1000)/(VLOOKUP(H11,BD!$B$4:$C$5,2,FALSE)*U8),2)</f>
        <v>0</v>
      </c>
      <c r="V7" s="262"/>
    </row>
    <row r="8" spans="4:57" x14ac:dyDescent="0.25">
      <c r="D8" s="256" t="s">
        <v>300</v>
      </c>
      <c r="E8" s="256"/>
      <c r="F8" s="256"/>
      <c r="G8" s="256"/>
      <c r="H8" s="62" t="s">
        <v>299</v>
      </c>
      <c r="I8" s="65" t="s">
        <v>298</v>
      </c>
      <c r="J8" s="97"/>
      <c r="K8" s="97"/>
      <c r="P8" s="65">
        <v>6</v>
      </c>
      <c r="Q8" s="264" t="s">
        <v>297</v>
      </c>
      <c r="R8" s="265"/>
      <c r="S8" s="265"/>
      <c r="T8" s="266"/>
      <c r="U8" s="269">
        <v>0.92</v>
      </c>
      <c r="V8" s="269"/>
    </row>
    <row r="9" spans="4:57" x14ac:dyDescent="0.25">
      <c r="D9" s="256" t="s">
        <v>296</v>
      </c>
      <c r="E9" s="256"/>
      <c r="F9" s="256"/>
      <c r="G9" s="256"/>
      <c r="H9" s="62" t="s">
        <v>295</v>
      </c>
      <c r="I9" s="65" t="s">
        <v>294</v>
      </c>
      <c r="J9" s="97"/>
      <c r="K9" s="97"/>
      <c r="P9" s="65" t="s">
        <v>293</v>
      </c>
      <c r="Q9" s="257" t="s">
        <v>292</v>
      </c>
      <c r="R9" s="257"/>
      <c r="S9" s="257"/>
      <c r="T9" s="257"/>
      <c r="U9" s="258"/>
      <c r="V9" s="258"/>
    </row>
    <row r="10" spans="4:57" x14ac:dyDescent="0.25">
      <c r="D10" s="256" t="s">
        <v>291</v>
      </c>
      <c r="E10" s="256"/>
      <c r="F10" s="256"/>
      <c r="G10" s="256"/>
      <c r="I10" s="65" t="s">
        <v>290</v>
      </c>
      <c r="J10" s="97"/>
      <c r="K10" s="97"/>
      <c r="P10" s="65">
        <v>4</v>
      </c>
      <c r="Q10" s="257"/>
      <c r="R10" s="257"/>
      <c r="S10" s="257"/>
      <c r="T10" s="257"/>
      <c r="U10" s="258"/>
      <c r="V10" s="258"/>
    </row>
    <row r="11" spans="4:57" x14ac:dyDescent="0.25">
      <c r="D11" s="256" t="s">
        <v>289</v>
      </c>
      <c r="E11" s="256"/>
      <c r="F11" s="256"/>
      <c r="G11" s="256"/>
      <c r="H11" s="105">
        <v>380</v>
      </c>
      <c r="I11" s="65" t="s">
        <v>288</v>
      </c>
      <c r="J11" s="97"/>
      <c r="K11" s="97"/>
      <c r="P11" s="65" t="s">
        <v>287</v>
      </c>
      <c r="Q11" s="282" t="s">
        <v>286</v>
      </c>
      <c r="R11" s="283"/>
      <c r="S11" s="283"/>
      <c r="T11" s="284"/>
      <c r="U11" s="285">
        <v>1</v>
      </c>
      <c r="V11" s="286"/>
    </row>
    <row r="12" spans="4:57" x14ac:dyDescent="0.25">
      <c r="D12" s="256" t="s">
        <v>285</v>
      </c>
      <c r="E12" s="256"/>
      <c r="F12" s="256"/>
      <c r="G12" s="256"/>
      <c r="H12" s="62" t="s">
        <v>284</v>
      </c>
      <c r="I12" s="65" t="s">
        <v>214</v>
      </c>
      <c r="J12" s="97"/>
      <c r="K12" s="97"/>
      <c r="P12" s="65" t="s">
        <v>283</v>
      </c>
      <c r="Q12" s="259" t="s">
        <v>282</v>
      </c>
      <c r="R12" s="259"/>
      <c r="S12" s="259"/>
      <c r="T12" s="259"/>
      <c r="U12" s="259">
        <v>44.5</v>
      </c>
      <c r="V12" s="259"/>
    </row>
    <row r="13" spans="4:57" x14ac:dyDescent="0.25">
      <c r="D13" s="256" t="s">
        <v>281</v>
      </c>
      <c r="E13" s="256"/>
      <c r="F13" s="256"/>
      <c r="G13" s="256"/>
      <c r="H13" s="62" t="s">
        <v>280</v>
      </c>
      <c r="I13" s="63"/>
      <c r="J13" s="98"/>
      <c r="K13" s="98"/>
      <c r="P13" s="63"/>
      <c r="Q13" s="259" t="s">
        <v>279</v>
      </c>
      <c r="R13" s="259"/>
      <c r="S13" s="259"/>
      <c r="T13" s="259"/>
      <c r="U13" s="259">
        <v>44.5</v>
      </c>
      <c r="V13" s="259"/>
    </row>
    <row r="14" spans="4:57" x14ac:dyDescent="0.25">
      <c r="D14" s="256" t="s">
        <v>278</v>
      </c>
      <c r="E14" s="256"/>
      <c r="F14" s="256"/>
      <c r="G14" s="256"/>
      <c r="H14" s="64" t="str">
        <f>'&lt;zlight&gt;'!G20&amp;"."&amp;'&lt;zlight&gt;'!H20</f>
        <v>.</v>
      </c>
      <c r="I14" s="63"/>
      <c r="J14" s="98"/>
      <c r="K14" s="98"/>
      <c r="P14" s="63"/>
      <c r="Q14" s="259" t="s">
        <v>277</v>
      </c>
      <c r="R14" s="259"/>
      <c r="S14" s="259"/>
      <c r="T14" s="259"/>
      <c r="U14" s="259">
        <v>44.5</v>
      </c>
      <c r="V14" s="259"/>
    </row>
    <row r="15" spans="4:57" x14ac:dyDescent="0.25">
      <c r="D15" s="256" t="s">
        <v>276</v>
      </c>
      <c r="E15" s="256"/>
      <c r="F15" s="256"/>
      <c r="G15" s="256"/>
      <c r="H15" s="62">
        <v>77</v>
      </c>
      <c r="P15" s="63"/>
      <c r="Q15" s="268" t="s">
        <v>275</v>
      </c>
      <c r="R15" s="268"/>
      <c r="S15" s="268"/>
      <c r="T15" s="268"/>
      <c r="U15" s="269">
        <f ca="1">ROUNDUP((U6*1000)/(INDEX(BD!$C$4:$C$5,MATCH(H11,BD!$B$4:$B$5,0))*U8),2)</f>
        <v>0</v>
      </c>
      <c r="V15" s="269"/>
    </row>
    <row r="16" spans="4:57" x14ac:dyDescent="0.25">
      <c r="Q16" s="272" t="s">
        <v>406</v>
      </c>
      <c r="R16" s="272"/>
      <c r="S16" s="272"/>
      <c r="T16" s="272"/>
      <c r="U16" s="272" t="e">
        <f>INDEX(BB5:BB9,MATCH(1,BD5:BD9,0))</f>
        <v>#N/A</v>
      </c>
      <c r="V16" s="272"/>
    </row>
    <row r="22" spans="1:262" x14ac:dyDescent="0.25">
      <c r="L22" s="148" t="s">
        <v>496</v>
      </c>
    </row>
    <row r="23" spans="1:262" x14ac:dyDescent="0.25">
      <c r="L23" s="149">
        <v>1</v>
      </c>
    </row>
    <row r="24" spans="1:262" s="1" customFormat="1" ht="15.75" thickBot="1" x14ac:dyDescent="0.3">
      <c r="A24" s="82">
        <f>COLUMN(A24)</f>
        <v>1</v>
      </c>
      <c r="B24" s="173">
        <f t="shared" ref="B24:BO24" si="0">COLUMN(B24)</f>
        <v>2</v>
      </c>
      <c r="C24" s="173">
        <f t="shared" si="0"/>
        <v>3</v>
      </c>
      <c r="D24" s="173">
        <f t="shared" si="0"/>
        <v>4</v>
      </c>
      <c r="E24" s="173">
        <f t="shared" si="0"/>
        <v>5</v>
      </c>
      <c r="F24" s="173">
        <f t="shared" si="0"/>
        <v>6</v>
      </c>
      <c r="G24" s="173">
        <f t="shared" si="0"/>
        <v>7</v>
      </c>
      <c r="H24" s="173">
        <f t="shared" si="0"/>
        <v>8</v>
      </c>
      <c r="I24" s="173">
        <f t="shared" si="0"/>
        <v>9</v>
      </c>
      <c r="J24" s="224"/>
      <c r="K24" s="173">
        <f t="shared" si="0"/>
        <v>11</v>
      </c>
      <c r="L24" s="173">
        <f t="shared" si="0"/>
        <v>12</v>
      </c>
      <c r="M24" s="173">
        <f t="shared" si="0"/>
        <v>13</v>
      </c>
      <c r="N24" s="173">
        <f t="shared" si="0"/>
        <v>14</v>
      </c>
      <c r="O24" s="173">
        <f t="shared" si="0"/>
        <v>15</v>
      </c>
      <c r="P24" s="173">
        <f t="shared" si="0"/>
        <v>16</v>
      </c>
      <c r="Q24" s="173">
        <f t="shared" si="0"/>
        <v>17</v>
      </c>
      <c r="R24" s="173">
        <f t="shared" si="0"/>
        <v>18</v>
      </c>
      <c r="S24" s="173">
        <f t="shared" si="0"/>
        <v>19</v>
      </c>
      <c r="T24" s="173">
        <f t="shared" si="0"/>
        <v>20</v>
      </c>
      <c r="U24" s="173">
        <f t="shared" si="0"/>
        <v>21</v>
      </c>
      <c r="V24" s="173">
        <f t="shared" si="0"/>
        <v>22</v>
      </c>
      <c r="W24" s="173">
        <f t="shared" si="0"/>
        <v>23</v>
      </c>
      <c r="X24" s="173">
        <f t="shared" si="0"/>
        <v>24</v>
      </c>
      <c r="Y24" s="173">
        <f t="shared" si="0"/>
        <v>25</v>
      </c>
      <c r="Z24" s="173">
        <f t="shared" si="0"/>
        <v>26</v>
      </c>
      <c r="AA24" s="173">
        <f t="shared" si="0"/>
        <v>27</v>
      </c>
      <c r="AB24" s="173">
        <f t="shared" si="0"/>
        <v>28</v>
      </c>
      <c r="AC24" s="173">
        <f t="shared" si="0"/>
        <v>29</v>
      </c>
      <c r="AD24" s="173">
        <f t="shared" si="0"/>
        <v>30</v>
      </c>
      <c r="AE24" s="173">
        <f t="shared" si="0"/>
        <v>31</v>
      </c>
      <c r="AF24" s="173">
        <f t="shared" si="0"/>
        <v>32</v>
      </c>
      <c r="AG24" s="173">
        <f t="shared" si="0"/>
        <v>33</v>
      </c>
      <c r="AH24" s="173">
        <f t="shared" si="0"/>
        <v>34</v>
      </c>
      <c r="AI24" s="173">
        <f t="shared" si="0"/>
        <v>35</v>
      </c>
      <c r="AJ24" s="173">
        <f t="shared" si="0"/>
        <v>36</v>
      </c>
      <c r="AK24" s="173">
        <f t="shared" si="0"/>
        <v>37</v>
      </c>
      <c r="AL24" s="173">
        <f t="shared" si="0"/>
        <v>38</v>
      </c>
      <c r="AM24" s="173">
        <f t="shared" si="0"/>
        <v>39</v>
      </c>
      <c r="AN24" s="173">
        <f t="shared" si="0"/>
        <v>40</v>
      </c>
      <c r="AO24" s="173">
        <f t="shared" si="0"/>
        <v>41</v>
      </c>
      <c r="AP24" s="173">
        <f t="shared" si="0"/>
        <v>42</v>
      </c>
      <c r="AQ24" s="173">
        <f t="shared" si="0"/>
        <v>43</v>
      </c>
      <c r="AR24" s="173">
        <f t="shared" si="0"/>
        <v>44</v>
      </c>
      <c r="AS24" s="173">
        <f t="shared" si="0"/>
        <v>45</v>
      </c>
      <c r="AT24" s="173">
        <f t="shared" si="0"/>
        <v>46</v>
      </c>
      <c r="AU24" s="173">
        <f t="shared" si="0"/>
        <v>47</v>
      </c>
      <c r="AV24" s="173">
        <f t="shared" si="0"/>
        <v>48</v>
      </c>
      <c r="AW24" s="173">
        <f t="shared" si="0"/>
        <v>49</v>
      </c>
      <c r="AX24" s="173">
        <f t="shared" si="0"/>
        <v>50</v>
      </c>
      <c r="AY24" s="224"/>
      <c r="AZ24" s="173">
        <f t="shared" si="0"/>
        <v>52</v>
      </c>
      <c r="BA24" s="173">
        <f t="shared" si="0"/>
        <v>53</v>
      </c>
      <c r="BB24" s="173">
        <f t="shared" si="0"/>
        <v>54</v>
      </c>
      <c r="BC24" s="173">
        <f t="shared" si="0"/>
        <v>55</v>
      </c>
      <c r="BD24" s="173">
        <f t="shared" si="0"/>
        <v>56</v>
      </c>
      <c r="BE24" s="173">
        <f t="shared" si="0"/>
        <v>57</v>
      </c>
      <c r="BF24" s="173">
        <f t="shared" si="0"/>
        <v>58</v>
      </c>
      <c r="BG24" s="173">
        <f t="shared" si="0"/>
        <v>59</v>
      </c>
      <c r="BH24" s="173">
        <f t="shared" si="0"/>
        <v>60</v>
      </c>
      <c r="BI24" s="173">
        <f t="shared" si="0"/>
        <v>61</v>
      </c>
      <c r="BJ24" s="173">
        <f t="shared" si="0"/>
        <v>62</v>
      </c>
      <c r="BK24" s="173">
        <f t="shared" si="0"/>
        <v>63</v>
      </c>
      <c r="BL24" s="173">
        <f t="shared" si="0"/>
        <v>64</v>
      </c>
      <c r="BM24" s="173">
        <f t="shared" si="0"/>
        <v>65</v>
      </c>
      <c r="BN24" s="173">
        <f t="shared" si="0"/>
        <v>66</v>
      </c>
      <c r="BO24" s="173">
        <f t="shared" si="0"/>
        <v>67</v>
      </c>
      <c r="BP24" s="173">
        <f t="shared" ref="BP24:EA24" si="1">COLUMN(BP24)</f>
        <v>68</v>
      </c>
      <c r="BQ24" s="173">
        <f t="shared" si="1"/>
        <v>69</v>
      </c>
      <c r="BR24" s="173">
        <f t="shared" si="1"/>
        <v>70</v>
      </c>
      <c r="BS24" s="173">
        <f t="shared" si="1"/>
        <v>71</v>
      </c>
      <c r="BT24" s="173">
        <f t="shared" si="1"/>
        <v>72</v>
      </c>
      <c r="BU24" s="173">
        <f t="shared" si="1"/>
        <v>73</v>
      </c>
      <c r="BV24" s="173">
        <f t="shared" si="1"/>
        <v>74</v>
      </c>
      <c r="BW24" s="173">
        <f t="shared" si="1"/>
        <v>75</v>
      </c>
      <c r="BX24" s="173">
        <f t="shared" si="1"/>
        <v>76</v>
      </c>
      <c r="BY24" s="173">
        <f t="shared" si="1"/>
        <v>77</v>
      </c>
      <c r="BZ24" s="173">
        <f t="shared" si="1"/>
        <v>78</v>
      </c>
      <c r="CA24" s="173">
        <f t="shared" si="1"/>
        <v>79</v>
      </c>
      <c r="CB24" s="173">
        <f t="shared" si="1"/>
        <v>80</v>
      </c>
      <c r="CC24" s="173">
        <f t="shared" si="1"/>
        <v>81</v>
      </c>
      <c r="CD24" s="173">
        <f t="shared" si="1"/>
        <v>82</v>
      </c>
      <c r="CE24" s="173">
        <f t="shared" si="1"/>
        <v>83</v>
      </c>
      <c r="CF24" s="173">
        <f t="shared" si="1"/>
        <v>84</v>
      </c>
      <c r="CG24" s="173">
        <f t="shared" si="1"/>
        <v>85</v>
      </c>
      <c r="CH24" s="173">
        <f t="shared" si="1"/>
        <v>86</v>
      </c>
      <c r="CI24" s="173">
        <f t="shared" si="1"/>
        <v>87</v>
      </c>
      <c r="CJ24" s="173">
        <f t="shared" si="1"/>
        <v>88</v>
      </c>
      <c r="CK24" s="173">
        <f t="shared" si="1"/>
        <v>89</v>
      </c>
      <c r="CL24" s="173">
        <f t="shared" si="1"/>
        <v>90</v>
      </c>
      <c r="CM24" s="173">
        <f t="shared" si="1"/>
        <v>91</v>
      </c>
      <c r="CN24" s="173">
        <f t="shared" si="1"/>
        <v>92</v>
      </c>
      <c r="CO24" s="173">
        <f t="shared" si="1"/>
        <v>93</v>
      </c>
      <c r="CP24" s="173">
        <f t="shared" si="1"/>
        <v>94</v>
      </c>
      <c r="CQ24" s="173">
        <f t="shared" si="1"/>
        <v>95</v>
      </c>
      <c r="CR24" s="173">
        <f t="shared" si="1"/>
        <v>96</v>
      </c>
      <c r="CS24" s="173">
        <f t="shared" si="1"/>
        <v>97</v>
      </c>
      <c r="CT24" s="173">
        <f t="shared" si="1"/>
        <v>98</v>
      </c>
      <c r="CU24" s="173">
        <f t="shared" si="1"/>
        <v>99</v>
      </c>
      <c r="CV24" s="173">
        <f t="shared" si="1"/>
        <v>100</v>
      </c>
      <c r="CW24" s="173">
        <f t="shared" si="1"/>
        <v>101</v>
      </c>
      <c r="CX24" s="173">
        <f t="shared" si="1"/>
        <v>102</v>
      </c>
      <c r="CY24" s="173">
        <f t="shared" si="1"/>
        <v>103</v>
      </c>
      <c r="CZ24" s="173">
        <f t="shared" si="1"/>
        <v>104</v>
      </c>
      <c r="DA24" s="173">
        <f t="shared" si="1"/>
        <v>105</v>
      </c>
      <c r="DB24" s="173">
        <f t="shared" si="1"/>
        <v>106</v>
      </c>
      <c r="DC24" s="173">
        <f t="shared" si="1"/>
        <v>107</v>
      </c>
      <c r="DD24" s="173">
        <f t="shared" si="1"/>
        <v>108</v>
      </c>
      <c r="DE24" s="173">
        <f t="shared" si="1"/>
        <v>109</v>
      </c>
      <c r="DF24" s="173">
        <f t="shared" si="1"/>
        <v>110</v>
      </c>
      <c r="DG24" s="173">
        <f t="shared" si="1"/>
        <v>111</v>
      </c>
      <c r="DH24" s="173">
        <f t="shared" si="1"/>
        <v>112</v>
      </c>
      <c r="DI24" s="173">
        <f t="shared" si="1"/>
        <v>113</v>
      </c>
      <c r="DJ24" s="173">
        <f t="shared" si="1"/>
        <v>114</v>
      </c>
      <c r="DK24" s="173">
        <f t="shared" si="1"/>
        <v>115</v>
      </c>
      <c r="DL24" s="173">
        <f t="shared" si="1"/>
        <v>116</v>
      </c>
      <c r="DM24" s="173">
        <f t="shared" si="1"/>
        <v>117</v>
      </c>
      <c r="DN24" s="173">
        <f t="shared" si="1"/>
        <v>118</v>
      </c>
      <c r="DO24" s="173">
        <f t="shared" si="1"/>
        <v>119</v>
      </c>
      <c r="DP24" s="173">
        <f t="shared" si="1"/>
        <v>120</v>
      </c>
      <c r="DQ24" s="173">
        <f t="shared" si="1"/>
        <v>121</v>
      </c>
      <c r="DR24" s="173">
        <f t="shared" si="1"/>
        <v>122</v>
      </c>
      <c r="DS24" s="173">
        <f t="shared" si="1"/>
        <v>123</v>
      </c>
      <c r="DT24" s="173">
        <f t="shared" si="1"/>
        <v>124</v>
      </c>
      <c r="DU24" s="173">
        <f t="shared" si="1"/>
        <v>125</v>
      </c>
      <c r="DV24" s="173">
        <f t="shared" si="1"/>
        <v>126</v>
      </c>
      <c r="DW24" s="173">
        <f t="shared" si="1"/>
        <v>127</v>
      </c>
      <c r="DX24" s="173">
        <f t="shared" si="1"/>
        <v>128</v>
      </c>
      <c r="DY24" s="173">
        <f t="shared" si="1"/>
        <v>129</v>
      </c>
      <c r="DZ24" s="173">
        <f t="shared" si="1"/>
        <v>130</v>
      </c>
      <c r="EA24" s="173">
        <f t="shared" si="1"/>
        <v>131</v>
      </c>
      <c r="EB24" s="173">
        <f t="shared" ref="EB24:GM24" si="2">COLUMN(EB24)</f>
        <v>132</v>
      </c>
      <c r="EC24" s="173">
        <f t="shared" si="2"/>
        <v>133</v>
      </c>
      <c r="ED24" s="173">
        <f t="shared" si="2"/>
        <v>134</v>
      </c>
      <c r="EE24" s="173">
        <f t="shared" si="2"/>
        <v>135</v>
      </c>
      <c r="EF24" s="173">
        <f t="shared" si="2"/>
        <v>136</v>
      </c>
      <c r="EG24" s="173">
        <f t="shared" si="2"/>
        <v>137</v>
      </c>
      <c r="EH24" s="173">
        <f t="shared" si="2"/>
        <v>138</v>
      </c>
      <c r="EI24" s="173">
        <f t="shared" si="2"/>
        <v>139</v>
      </c>
      <c r="EJ24" s="173">
        <f t="shared" si="2"/>
        <v>140</v>
      </c>
      <c r="EK24" s="173">
        <f t="shared" si="2"/>
        <v>141</v>
      </c>
      <c r="EL24" s="173">
        <f t="shared" si="2"/>
        <v>142</v>
      </c>
      <c r="EM24" s="173">
        <f t="shared" si="2"/>
        <v>143</v>
      </c>
      <c r="EN24" s="173">
        <f t="shared" si="2"/>
        <v>144</v>
      </c>
      <c r="EO24" s="173">
        <f t="shared" si="2"/>
        <v>145</v>
      </c>
      <c r="EP24" s="173">
        <f t="shared" si="2"/>
        <v>146</v>
      </c>
      <c r="EQ24" s="173">
        <f t="shared" si="2"/>
        <v>147</v>
      </c>
      <c r="ER24" s="173">
        <f t="shared" si="2"/>
        <v>148</v>
      </c>
      <c r="ES24" s="173">
        <f t="shared" si="2"/>
        <v>149</v>
      </c>
      <c r="ET24" s="173">
        <f t="shared" si="2"/>
        <v>150</v>
      </c>
      <c r="EU24" s="173">
        <f t="shared" si="2"/>
        <v>151</v>
      </c>
      <c r="EV24" s="173">
        <f t="shared" si="2"/>
        <v>152</v>
      </c>
      <c r="EW24" s="173">
        <f t="shared" si="2"/>
        <v>153</v>
      </c>
      <c r="EX24" s="173">
        <f t="shared" si="2"/>
        <v>154</v>
      </c>
      <c r="EY24" s="173">
        <f t="shared" si="2"/>
        <v>155</v>
      </c>
      <c r="EZ24" s="173">
        <f t="shared" si="2"/>
        <v>156</v>
      </c>
      <c r="FA24" s="173">
        <f t="shared" si="2"/>
        <v>157</v>
      </c>
      <c r="FB24" s="173">
        <f t="shared" si="2"/>
        <v>158</v>
      </c>
      <c r="FC24" s="173">
        <f t="shared" si="2"/>
        <v>159</v>
      </c>
      <c r="FD24" s="173">
        <f t="shared" si="2"/>
        <v>160</v>
      </c>
      <c r="FE24" s="173">
        <f t="shared" si="2"/>
        <v>161</v>
      </c>
      <c r="FF24" s="173">
        <f t="shared" si="2"/>
        <v>162</v>
      </c>
      <c r="FG24" s="173">
        <f t="shared" si="2"/>
        <v>163</v>
      </c>
      <c r="FH24" s="173">
        <f t="shared" si="2"/>
        <v>164</v>
      </c>
      <c r="FI24" s="173">
        <f t="shared" si="2"/>
        <v>165</v>
      </c>
      <c r="FJ24" s="173">
        <f t="shared" si="2"/>
        <v>166</v>
      </c>
      <c r="FK24" s="173">
        <f t="shared" si="2"/>
        <v>167</v>
      </c>
      <c r="FL24" s="173">
        <f t="shared" si="2"/>
        <v>168</v>
      </c>
      <c r="FM24" s="173">
        <f t="shared" si="2"/>
        <v>169</v>
      </c>
      <c r="FN24" s="173">
        <f t="shared" si="2"/>
        <v>170</v>
      </c>
      <c r="FO24" s="173">
        <f t="shared" si="2"/>
        <v>171</v>
      </c>
      <c r="FP24" s="173">
        <f t="shared" si="2"/>
        <v>172</v>
      </c>
      <c r="FQ24" s="173">
        <f t="shared" si="2"/>
        <v>173</v>
      </c>
      <c r="FR24" s="173">
        <f t="shared" si="2"/>
        <v>174</v>
      </c>
      <c r="FS24" s="173">
        <f t="shared" si="2"/>
        <v>175</v>
      </c>
      <c r="FT24" s="173">
        <f t="shared" si="2"/>
        <v>176</v>
      </c>
      <c r="FU24" s="173">
        <f t="shared" si="2"/>
        <v>177</v>
      </c>
      <c r="FV24" s="173">
        <f t="shared" si="2"/>
        <v>178</v>
      </c>
      <c r="FW24" s="173">
        <f t="shared" si="2"/>
        <v>179</v>
      </c>
      <c r="FX24" s="173">
        <f t="shared" si="2"/>
        <v>180</v>
      </c>
      <c r="FY24" s="173">
        <f t="shared" si="2"/>
        <v>181</v>
      </c>
      <c r="FZ24" s="173">
        <f t="shared" si="2"/>
        <v>182</v>
      </c>
      <c r="GA24" s="173">
        <f t="shared" si="2"/>
        <v>183</v>
      </c>
      <c r="GB24" s="173">
        <f t="shared" si="2"/>
        <v>184</v>
      </c>
      <c r="GC24" s="173">
        <f t="shared" si="2"/>
        <v>185</v>
      </c>
      <c r="GD24" s="173">
        <f t="shared" si="2"/>
        <v>186</v>
      </c>
      <c r="GE24" s="173">
        <f t="shared" si="2"/>
        <v>187</v>
      </c>
      <c r="GF24" s="173">
        <f t="shared" si="2"/>
        <v>188</v>
      </c>
      <c r="GG24" s="173">
        <f t="shared" si="2"/>
        <v>189</v>
      </c>
      <c r="GH24" s="173">
        <f t="shared" si="2"/>
        <v>190</v>
      </c>
      <c r="GI24" s="173">
        <f t="shared" si="2"/>
        <v>191</v>
      </c>
      <c r="GJ24" s="173">
        <f t="shared" si="2"/>
        <v>192</v>
      </c>
      <c r="GK24" s="173">
        <f t="shared" si="2"/>
        <v>193</v>
      </c>
      <c r="GL24" s="173">
        <f t="shared" si="2"/>
        <v>194</v>
      </c>
      <c r="GM24" s="173">
        <f t="shared" si="2"/>
        <v>195</v>
      </c>
      <c r="GN24" s="173">
        <f t="shared" ref="GN24:IO24" si="3">COLUMN(GN24)</f>
        <v>196</v>
      </c>
      <c r="GO24" s="173">
        <f t="shared" si="3"/>
        <v>197</v>
      </c>
      <c r="GP24" s="173">
        <f t="shared" si="3"/>
        <v>198</v>
      </c>
      <c r="GQ24" s="173">
        <f t="shared" si="3"/>
        <v>199</v>
      </c>
      <c r="GR24" s="173">
        <f t="shared" si="3"/>
        <v>200</v>
      </c>
      <c r="GS24" s="173">
        <f t="shared" si="3"/>
        <v>201</v>
      </c>
      <c r="GT24" s="173">
        <f t="shared" si="3"/>
        <v>202</v>
      </c>
      <c r="GU24" s="173">
        <f t="shared" si="3"/>
        <v>203</v>
      </c>
      <c r="GV24" s="173">
        <f t="shared" si="3"/>
        <v>204</v>
      </c>
      <c r="GW24" s="173">
        <f t="shared" si="3"/>
        <v>205</v>
      </c>
      <c r="GX24" s="173">
        <f t="shared" si="3"/>
        <v>206</v>
      </c>
      <c r="GY24" s="173">
        <f t="shared" si="3"/>
        <v>207</v>
      </c>
      <c r="GZ24" s="173">
        <f t="shared" si="3"/>
        <v>208</v>
      </c>
      <c r="HA24" s="173">
        <f t="shared" si="3"/>
        <v>209</v>
      </c>
      <c r="HB24" s="173">
        <f t="shared" si="3"/>
        <v>210</v>
      </c>
      <c r="HC24" s="173">
        <f t="shared" si="3"/>
        <v>211</v>
      </c>
      <c r="HD24" s="173">
        <f t="shared" si="3"/>
        <v>212</v>
      </c>
      <c r="HE24" s="173">
        <f t="shared" si="3"/>
        <v>213</v>
      </c>
      <c r="HF24" s="173">
        <f t="shared" si="3"/>
        <v>214</v>
      </c>
      <c r="HG24" s="173">
        <f t="shared" si="3"/>
        <v>215</v>
      </c>
      <c r="HH24" s="173">
        <f t="shared" si="3"/>
        <v>216</v>
      </c>
      <c r="HI24" s="173">
        <f t="shared" si="3"/>
        <v>217</v>
      </c>
      <c r="HJ24" s="173">
        <f t="shared" si="3"/>
        <v>218</v>
      </c>
      <c r="HK24" s="173">
        <f t="shared" si="3"/>
        <v>219</v>
      </c>
      <c r="HL24" s="173">
        <f t="shared" si="3"/>
        <v>220</v>
      </c>
      <c r="HM24" s="173">
        <f t="shared" si="3"/>
        <v>221</v>
      </c>
      <c r="HN24" s="173">
        <f t="shared" si="3"/>
        <v>222</v>
      </c>
      <c r="HO24" s="173">
        <f t="shared" si="3"/>
        <v>223</v>
      </c>
      <c r="HP24" s="173">
        <f t="shared" si="3"/>
        <v>224</v>
      </c>
      <c r="HQ24" s="173">
        <f t="shared" si="3"/>
        <v>225</v>
      </c>
      <c r="HR24" s="173">
        <f t="shared" si="3"/>
        <v>226</v>
      </c>
      <c r="HS24" s="173">
        <f t="shared" si="3"/>
        <v>227</v>
      </c>
      <c r="HT24" s="173">
        <f t="shared" si="3"/>
        <v>228</v>
      </c>
      <c r="HU24" s="173">
        <f t="shared" si="3"/>
        <v>229</v>
      </c>
      <c r="HV24" s="173">
        <f t="shared" si="3"/>
        <v>230</v>
      </c>
      <c r="HW24" s="173">
        <f t="shared" si="3"/>
        <v>231</v>
      </c>
      <c r="HX24" s="173">
        <f t="shared" si="3"/>
        <v>232</v>
      </c>
      <c r="HY24" s="173">
        <f t="shared" si="3"/>
        <v>233</v>
      </c>
      <c r="HZ24" s="173">
        <f t="shared" si="3"/>
        <v>234</v>
      </c>
      <c r="IA24" s="173">
        <f t="shared" si="3"/>
        <v>235</v>
      </c>
      <c r="IB24" s="173">
        <f t="shared" si="3"/>
        <v>236</v>
      </c>
      <c r="IC24" s="173">
        <f t="shared" si="3"/>
        <v>237</v>
      </c>
      <c r="ID24" s="173">
        <f t="shared" si="3"/>
        <v>238</v>
      </c>
      <c r="IE24" s="173">
        <f t="shared" si="3"/>
        <v>239</v>
      </c>
      <c r="IF24" s="173">
        <f t="shared" si="3"/>
        <v>240</v>
      </c>
      <c r="IG24" s="173">
        <f t="shared" si="3"/>
        <v>241</v>
      </c>
      <c r="IH24" s="173">
        <f t="shared" si="3"/>
        <v>242</v>
      </c>
      <c r="II24" s="173">
        <f t="shared" si="3"/>
        <v>243</v>
      </c>
      <c r="IJ24" s="173">
        <f t="shared" si="3"/>
        <v>244</v>
      </c>
      <c r="IK24" s="173">
        <f t="shared" si="3"/>
        <v>245</v>
      </c>
      <c r="IL24" s="173">
        <f t="shared" si="3"/>
        <v>246</v>
      </c>
      <c r="IM24" s="173">
        <f t="shared" si="3"/>
        <v>247</v>
      </c>
      <c r="IN24" s="173">
        <f t="shared" si="3"/>
        <v>248</v>
      </c>
      <c r="IO24" s="173">
        <f t="shared" si="3"/>
        <v>249</v>
      </c>
      <c r="IP24" s="1">
        <f t="shared" ref="IP24:JB24" si="4">COLUMN(IP24)</f>
        <v>250</v>
      </c>
      <c r="IQ24" s="1">
        <f t="shared" si="4"/>
        <v>251</v>
      </c>
      <c r="IR24" s="1">
        <f t="shared" si="4"/>
        <v>252</v>
      </c>
      <c r="IS24" s="1">
        <f t="shared" si="4"/>
        <v>253</v>
      </c>
      <c r="IT24" s="1">
        <f t="shared" si="4"/>
        <v>254</v>
      </c>
      <c r="IU24" s="1">
        <f t="shared" si="4"/>
        <v>255</v>
      </c>
      <c r="IV24" s="1">
        <f t="shared" si="4"/>
        <v>256</v>
      </c>
      <c r="IW24" s="1">
        <f t="shared" si="4"/>
        <v>257</v>
      </c>
      <c r="IX24" s="1">
        <f t="shared" si="4"/>
        <v>258</v>
      </c>
      <c r="IY24" s="1">
        <f t="shared" si="4"/>
        <v>259</v>
      </c>
      <c r="IZ24" s="1">
        <f t="shared" si="4"/>
        <v>260</v>
      </c>
      <c r="JA24" s="1">
        <f t="shared" si="4"/>
        <v>261</v>
      </c>
      <c r="JB24" s="1">
        <f t="shared" si="4"/>
        <v>262</v>
      </c>
    </row>
    <row r="25" spans="1:262" ht="15.75" customHeight="1" x14ac:dyDescent="0.25">
      <c r="BD25" s="276" t="s">
        <v>514</v>
      </c>
      <c r="BE25" s="277"/>
      <c r="BF25" s="277"/>
      <c r="BG25" s="277"/>
      <c r="BH25" s="277"/>
      <c r="BI25" s="277"/>
      <c r="BJ25" s="277"/>
      <c r="BK25" s="277"/>
      <c r="BL25" s="277"/>
      <c r="BM25" s="277"/>
      <c r="BN25" s="277"/>
      <c r="BO25" s="277"/>
      <c r="BP25" s="277"/>
      <c r="BQ25" s="277"/>
      <c r="BR25" s="277"/>
      <c r="BS25" s="277"/>
      <c r="BT25" s="277"/>
      <c r="BU25" s="277"/>
      <c r="BV25" s="277"/>
      <c r="BW25" s="277"/>
      <c r="BX25" s="277"/>
      <c r="BY25" s="277"/>
      <c r="BZ25" s="277"/>
      <c r="CA25" s="278"/>
      <c r="CB25" s="276" t="s">
        <v>517</v>
      </c>
      <c r="CC25" s="277"/>
      <c r="CD25" s="277"/>
      <c r="CE25" s="277"/>
      <c r="CF25" s="277"/>
      <c r="CG25" s="277"/>
      <c r="CH25" s="277"/>
      <c r="CI25" s="277"/>
      <c r="CJ25" s="277"/>
      <c r="CK25" s="277"/>
      <c r="CL25" s="277"/>
      <c r="CM25" s="277"/>
      <c r="CN25" s="277"/>
      <c r="CO25" s="277"/>
      <c r="CP25" s="277"/>
      <c r="CQ25" s="277"/>
      <c r="CR25" s="277"/>
      <c r="CS25" s="277"/>
      <c r="CT25" s="279" t="s">
        <v>266</v>
      </c>
      <c r="CU25" s="280"/>
      <c r="CV25" s="280"/>
      <c r="CW25" s="280"/>
      <c r="CX25" s="280"/>
      <c r="CY25" s="280"/>
      <c r="CZ25" s="280"/>
      <c r="DA25" s="280"/>
      <c r="DB25" s="280"/>
      <c r="DC25" s="280"/>
      <c r="DD25" s="280"/>
      <c r="DE25" s="280"/>
      <c r="DF25" s="280"/>
      <c r="DG25" s="280"/>
      <c r="DH25" s="280"/>
      <c r="DI25" s="280"/>
      <c r="DJ25" s="280"/>
      <c r="DK25" s="280"/>
      <c r="DL25" s="280"/>
      <c r="DM25" s="280"/>
      <c r="DN25" s="280"/>
      <c r="DO25" s="280"/>
      <c r="DP25" s="280"/>
      <c r="DQ25" s="280"/>
      <c r="DR25" s="280"/>
      <c r="DS25" s="280"/>
      <c r="DT25" s="280"/>
      <c r="DU25" s="280"/>
      <c r="DV25" s="280"/>
      <c r="DW25" s="280"/>
      <c r="DX25" s="280"/>
      <c r="DY25" s="280"/>
      <c r="DZ25" s="280"/>
      <c r="EA25" s="280"/>
      <c r="EB25" s="280"/>
      <c r="EC25" s="280"/>
      <c r="ED25" s="280"/>
      <c r="EE25" s="280"/>
      <c r="EF25" s="280"/>
      <c r="EG25" s="280"/>
      <c r="EH25" s="280"/>
      <c r="EI25" s="280"/>
      <c r="EJ25" s="280"/>
      <c r="EK25" s="280"/>
      <c r="EL25" s="280"/>
      <c r="EM25" s="280"/>
      <c r="EN25" s="280"/>
      <c r="EO25" s="280"/>
      <c r="EP25" s="280"/>
      <c r="EQ25" s="280"/>
      <c r="ER25" s="280"/>
      <c r="ES25" s="280"/>
      <c r="ET25" s="280"/>
      <c r="EU25" s="280"/>
      <c r="EV25" s="280"/>
      <c r="EW25" s="280"/>
      <c r="EX25" s="280"/>
      <c r="EY25" s="280"/>
      <c r="EZ25" s="280"/>
      <c r="FA25" s="280"/>
      <c r="FB25" s="280"/>
      <c r="FC25" s="280"/>
      <c r="FD25" s="280"/>
      <c r="FE25" s="280"/>
      <c r="FF25" s="280"/>
      <c r="FG25" s="280"/>
      <c r="FH25" s="280"/>
      <c r="FI25" s="280"/>
      <c r="FJ25" s="280"/>
      <c r="FK25" s="280"/>
      <c r="FL25" s="280"/>
      <c r="FM25" s="280"/>
      <c r="FN25" s="280"/>
      <c r="FO25" s="280"/>
      <c r="FP25" s="281"/>
    </row>
    <row r="26" spans="1:262" ht="15.75" customHeight="1" x14ac:dyDescent="0.25">
      <c r="D26" s="270" t="s">
        <v>274</v>
      </c>
      <c r="E26" s="267" t="s">
        <v>225</v>
      </c>
      <c r="F26" s="267" t="s">
        <v>224</v>
      </c>
      <c r="G26" s="267" t="s">
        <v>273</v>
      </c>
      <c r="H26" s="267" t="s">
        <v>272</v>
      </c>
      <c r="I26" s="267" t="s">
        <v>271</v>
      </c>
      <c r="J26" s="291" t="s">
        <v>612</v>
      </c>
      <c r="K26" s="271" t="s">
        <v>390</v>
      </c>
      <c r="L26" s="294" t="s">
        <v>391</v>
      </c>
      <c r="M26" s="294"/>
      <c r="N26" s="294"/>
      <c r="O26" s="267" t="s">
        <v>270</v>
      </c>
      <c r="P26" s="295" t="s">
        <v>269</v>
      </c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6" t="s">
        <v>268</v>
      </c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6"/>
      <c r="AN26" s="296" t="s">
        <v>267</v>
      </c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296"/>
      <c r="BD26" s="63"/>
      <c r="BE26" s="63"/>
      <c r="BF26" s="63"/>
      <c r="BG26" s="63"/>
      <c r="BH26" s="63"/>
      <c r="BI26" s="63"/>
      <c r="BJ26" s="63"/>
      <c r="BK26" s="63"/>
      <c r="BL26" s="298" t="s">
        <v>503</v>
      </c>
      <c r="BM26" s="298"/>
      <c r="BN26" s="298"/>
      <c r="BO26" s="298"/>
      <c r="BP26" s="298"/>
      <c r="BQ26" s="298"/>
      <c r="BR26" s="298"/>
      <c r="BS26" s="298"/>
      <c r="BT26" s="63"/>
      <c r="BU26" s="63"/>
      <c r="BV26" s="63"/>
      <c r="BW26" s="299" t="s">
        <v>516</v>
      </c>
      <c r="BX26" s="299"/>
      <c r="BY26" s="299"/>
      <c r="BZ26" s="299"/>
      <c r="CA26" s="299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288" t="s">
        <v>535</v>
      </c>
      <c r="DG26" s="288"/>
      <c r="DH26" s="288"/>
      <c r="DI26" s="288"/>
      <c r="DJ26" s="288"/>
      <c r="DK26" s="288"/>
      <c r="DL26" s="288"/>
      <c r="DM26" s="288"/>
      <c r="DN26" s="288"/>
      <c r="DO26" s="288"/>
      <c r="DP26" s="288"/>
      <c r="DQ26" s="288"/>
      <c r="DR26" s="288"/>
      <c r="DS26" s="288"/>
      <c r="DT26" s="288"/>
      <c r="DU26" s="288"/>
      <c r="DV26" s="288"/>
      <c r="DW26" s="288"/>
      <c r="DX26" s="287" t="s">
        <v>206</v>
      </c>
      <c r="DY26" s="287"/>
      <c r="DZ26" s="287"/>
      <c r="EA26" s="273" t="s">
        <v>205</v>
      </c>
      <c r="EB26" s="274"/>
      <c r="EC26" s="274"/>
      <c r="ED26" s="274"/>
      <c r="EE26" s="274"/>
      <c r="EF26" s="274"/>
      <c r="EG26" s="274"/>
      <c r="EH26" s="274"/>
      <c r="EI26" s="274"/>
      <c r="EJ26" s="274"/>
      <c r="EK26" s="274"/>
      <c r="EL26" s="274"/>
      <c r="EM26" s="274"/>
      <c r="EN26" s="274"/>
      <c r="EO26" s="274"/>
      <c r="EP26" s="274"/>
      <c r="EQ26" s="289" t="s">
        <v>204</v>
      </c>
      <c r="ER26" s="289"/>
      <c r="ES26" s="289"/>
      <c r="ET26" s="289"/>
      <c r="EU26" s="289"/>
      <c r="EV26" s="289"/>
      <c r="EW26" s="290" t="s">
        <v>203</v>
      </c>
      <c r="EX26" s="290"/>
      <c r="EY26" s="290"/>
      <c r="EZ26" s="290"/>
      <c r="FA26" s="290" t="s">
        <v>202</v>
      </c>
      <c r="FB26" s="290"/>
      <c r="FC26" s="290"/>
      <c r="FD26" s="290"/>
      <c r="FE26" s="290" t="s">
        <v>201</v>
      </c>
      <c r="FF26" s="290"/>
      <c r="FG26" s="290"/>
      <c r="FH26" s="290"/>
      <c r="FI26" s="290"/>
      <c r="FJ26" s="290"/>
      <c r="FK26" s="290" t="s">
        <v>200</v>
      </c>
      <c r="FL26" s="290"/>
      <c r="FM26" s="290"/>
      <c r="FN26" s="290"/>
      <c r="FO26" s="290"/>
      <c r="FP26" s="63"/>
      <c r="FQ26" s="88"/>
      <c r="FR26" s="88"/>
      <c r="FS26" t="s">
        <v>209</v>
      </c>
      <c r="FT26" s="1" t="s">
        <v>265</v>
      </c>
      <c r="FU26" s="117">
        <f>60*$AA$5</f>
        <v>60</v>
      </c>
      <c r="FV26" s="117">
        <f>0*$AA$6</f>
        <v>0</v>
      </c>
      <c r="FW26" s="114">
        <f>$AA$5</f>
        <v>1</v>
      </c>
      <c r="FX26" s="114">
        <f>$AA$6</f>
        <v>1</v>
      </c>
      <c r="FY26" s="119">
        <v>0</v>
      </c>
      <c r="FZ26" t="s">
        <v>264</v>
      </c>
      <c r="GA26">
        <f>H5</f>
        <v>0</v>
      </c>
      <c r="GB26" t="s">
        <v>263</v>
      </c>
      <c r="GC26" t="str">
        <f>H6</f>
        <v>??????</v>
      </c>
      <c r="GD26" t="s">
        <v>262</v>
      </c>
      <c r="GE26" t="str">
        <f ca="1">"Установленная полная мощность, Ру = "&amp;U5&amp;"кВт"</f>
        <v>Установленная полная мощность, Ру = 0кВт</v>
      </c>
      <c r="GF26" t="s">
        <v>261</v>
      </c>
      <c r="GG26" t="str">
        <f>"Коэффициент спроса, Кс = "&amp;U11</f>
        <v>Коэффициент спроса, Кс = 1</v>
      </c>
      <c r="GH26" t="s">
        <v>260</v>
      </c>
      <c r="GI26" t="str">
        <f ca="1">"Расчетная мощность, Рр = "&amp;U6&amp;"кВт"</f>
        <v>Расчетная мощность, Рр = 0кВт</v>
      </c>
      <c r="GJ26" t="s">
        <v>259</v>
      </c>
      <c r="GK26" t="str">
        <f>"Коэффициент мощности, cosf = "&amp;U8</f>
        <v>Коэффициент мощности, cosf = 0,92</v>
      </c>
      <c r="GL26" t="s">
        <v>258</v>
      </c>
      <c r="GM26" t="str">
        <f ca="1">"Расчетный ток, Iр = "&amp;U15&amp;"А"</f>
        <v>Расчетный ток, Iр = 0А</v>
      </c>
      <c r="HL26" t="s">
        <v>191</v>
      </c>
    </row>
    <row r="27" spans="1:262" ht="103.5" x14ac:dyDescent="0.25">
      <c r="D27" s="270"/>
      <c r="E27" s="267"/>
      <c r="F27" s="267"/>
      <c r="G27" s="267"/>
      <c r="H27" s="267"/>
      <c r="I27" s="267"/>
      <c r="J27" s="292"/>
      <c r="K27" s="271"/>
      <c r="L27" s="99" t="s">
        <v>257</v>
      </c>
      <c r="M27" s="99" t="s">
        <v>256</v>
      </c>
      <c r="N27" s="99" t="s">
        <v>255</v>
      </c>
      <c r="O27" s="267"/>
      <c r="P27" s="174" t="s">
        <v>329</v>
      </c>
      <c r="Q27" s="174" t="s">
        <v>254</v>
      </c>
      <c r="R27" s="174" t="s">
        <v>3</v>
      </c>
      <c r="S27" s="175" t="s">
        <v>253</v>
      </c>
      <c r="T27" s="176" t="s">
        <v>252</v>
      </c>
      <c r="U27" s="175" t="s">
        <v>251</v>
      </c>
      <c r="V27" s="175" t="s">
        <v>250</v>
      </c>
      <c r="W27" s="175" t="s">
        <v>249</v>
      </c>
      <c r="X27" s="176" t="s">
        <v>248</v>
      </c>
      <c r="Y27" s="177" t="s">
        <v>247</v>
      </c>
      <c r="Z27" s="178" t="s">
        <v>246</v>
      </c>
      <c r="AA27" s="174" t="s">
        <v>245</v>
      </c>
      <c r="AB27" s="179" t="s">
        <v>244</v>
      </c>
      <c r="AC27" s="179" t="s">
        <v>412</v>
      </c>
      <c r="AD27" s="179" t="s">
        <v>242</v>
      </c>
      <c r="AE27" s="179" t="s">
        <v>413</v>
      </c>
      <c r="AF27" s="179" t="s">
        <v>241</v>
      </c>
      <c r="AG27" s="179" t="s">
        <v>240</v>
      </c>
      <c r="AH27" s="179" t="s">
        <v>243</v>
      </c>
      <c r="AI27" s="179" t="s">
        <v>409</v>
      </c>
      <c r="AJ27" s="179" t="s">
        <v>410</v>
      </c>
      <c r="AK27" s="179" t="s">
        <v>411</v>
      </c>
      <c r="AL27" s="179" t="s">
        <v>221</v>
      </c>
      <c r="AM27" s="179" t="s">
        <v>239</v>
      </c>
      <c r="AN27" s="179" t="s">
        <v>238</v>
      </c>
      <c r="AO27" s="179" t="s">
        <v>237</v>
      </c>
      <c r="AP27" s="179" t="s">
        <v>236</v>
      </c>
      <c r="AQ27" s="179" t="s">
        <v>235</v>
      </c>
      <c r="AR27" s="179" t="s">
        <v>234</v>
      </c>
      <c r="AS27" s="179" t="s">
        <v>233</v>
      </c>
      <c r="AT27" s="179" t="s">
        <v>232</v>
      </c>
      <c r="AU27" s="179" t="s">
        <v>35</v>
      </c>
      <c r="AV27" s="179" t="s">
        <v>231</v>
      </c>
      <c r="AW27" s="180" t="s">
        <v>489</v>
      </c>
      <c r="AX27" s="179" t="s">
        <v>230</v>
      </c>
      <c r="AY27" s="228" t="s">
        <v>611</v>
      </c>
      <c r="AZ27" s="179" t="s">
        <v>229</v>
      </c>
      <c r="BA27" s="179" t="s">
        <v>228</v>
      </c>
      <c r="BB27" s="179" t="s">
        <v>227</v>
      </c>
      <c r="BC27" s="179" t="s">
        <v>226</v>
      </c>
      <c r="BD27" s="181" t="s">
        <v>497</v>
      </c>
      <c r="BE27" s="181" t="s">
        <v>498</v>
      </c>
      <c r="BF27" s="181" t="s">
        <v>499</v>
      </c>
      <c r="BG27" s="182" t="s">
        <v>222</v>
      </c>
      <c r="BH27" s="183" t="s">
        <v>515</v>
      </c>
      <c r="BI27" s="184" t="s">
        <v>500</v>
      </c>
      <c r="BJ27" s="185" t="s">
        <v>502</v>
      </c>
      <c r="BK27" s="186" t="s">
        <v>501</v>
      </c>
      <c r="BL27" s="179" t="s">
        <v>223</v>
      </c>
      <c r="BM27" s="185" t="s">
        <v>221</v>
      </c>
      <c r="BN27" s="179" t="s">
        <v>220</v>
      </c>
      <c r="BO27" s="179" t="s">
        <v>219</v>
      </c>
      <c r="BP27" s="187" t="s">
        <v>218</v>
      </c>
      <c r="BQ27" s="187" t="s">
        <v>504</v>
      </c>
      <c r="BR27" s="179" t="s">
        <v>505</v>
      </c>
      <c r="BS27" s="179" t="s">
        <v>506</v>
      </c>
      <c r="BT27" s="185" t="s">
        <v>217</v>
      </c>
      <c r="BU27" s="185" t="s">
        <v>525</v>
      </c>
      <c r="BV27" s="184" t="s">
        <v>526</v>
      </c>
      <c r="BW27" s="186" t="s">
        <v>216</v>
      </c>
      <c r="BX27" s="186" t="s">
        <v>215</v>
      </c>
      <c r="BY27" s="186" t="s">
        <v>214</v>
      </c>
      <c r="BZ27" s="186" t="s">
        <v>213</v>
      </c>
      <c r="CA27" s="186" t="s">
        <v>212</v>
      </c>
      <c r="CB27" s="181" t="s">
        <v>507</v>
      </c>
      <c r="CC27" s="182" t="s">
        <v>222</v>
      </c>
      <c r="CD27" s="182" t="s">
        <v>518</v>
      </c>
      <c r="CE27" s="185" t="s">
        <v>221</v>
      </c>
      <c r="CF27" s="179" t="s">
        <v>220</v>
      </c>
      <c r="CG27" s="179" t="s">
        <v>519</v>
      </c>
      <c r="CH27" s="187" t="s">
        <v>218</v>
      </c>
      <c r="CI27" s="187" t="s">
        <v>504</v>
      </c>
      <c r="CJ27" s="179" t="s">
        <v>505</v>
      </c>
      <c r="CK27" s="179" t="s">
        <v>506</v>
      </c>
      <c r="CL27" s="185" t="s">
        <v>217</v>
      </c>
      <c r="CM27" s="185" t="s">
        <v>525</v>
      </c>
      <c r="CN27" s="184" t="s">
        <v>526</v>
      </c>
      <c r="CO27" s="186" t="s">
        <v>216</v>
      </c>
      <c r="CP27" s="186" t="s">
        <v>215</v>
      </c>
      <c r="CQ27" s="186" t="s">
        <v>214</v>
      </c>
      <c r="CR27" s="186" t="s">
        <v>213</v>
      </c>
      <c r="CS27" s="186" t="s">
        <v>212</v>
      </c>
      <c r="CT27" s="88" t="s">
        <v>383</v>
      </c>
      <c r="CU27" s="88" t="s">
        <v>382</v>
      </c>
      <c r="CV27" s="88" t="s">
        <v>384</v>
      </c>
      <c r="CW27" s="188" t="s">
        <v>389</v>
      </c>
      <c r="CX27" s="189" t="s">
        <v>414</v>
      </c>
      <c r="CY27" s="189" t="s">
        <v>415</v>
      </c>
      <c r="CZ27" s="189" t="s">
        <v>416</v>
      </c>
      <c r="DA27" s="189" t="s">
        <v>473</v>
      </c>
      <c r="DB27" s="189" t="s">
        <v>417</v>
      </c>
      <c r="DC27" s="190" t="s">
        <v>418</v>
      </c>
      <c r="DD27" s="190" t="s">
        <v>539</v>
      </c>
      <c r="DE27" s="89"/>
      <c r="DF27" s="191" t="s">
        <v>531</v>
      </c>
      <c r="DG27" s="191" t="s">
        <v>532</v>
      </c>
      <c r="DH27" s="192" t="s">
        <v>555</v>
      </c>
      <c r="DI27" s="192" t="s">
        <v>556</v>
      </c>
      <c r="DJ27" s="192" t="s">
        <v>557</v>
      </c>
      <c r="DK27" s="193" t="s">
        <v>543</v>
      </c>
      <c r="DL27" s="193" t="s">
        <v>533</v>
      </c>
      <c r="DM27" s="193" t="s">
        <v>583</v>
      </c>
      <c r="DN27" s="193" t="s">
        <v>584</v>
      </c>
      <c r="DO27" s="165" t="s">
        <v>520</v>
      </c>
      <c r="DP27" s="165" t="s">
        <v>521</v>
      </c>
      <c r="DQ27" s="165" t="s">
        <v>522</v>
      </c>
      <c r="DR27" s="191" t="s">
        <v>534</v>
      </c>
      <c r="DS27" s="193" t="s">
        <v>536</v>
      </c>
      <c r="DT27" s="194" t="s">
        <v>537</v>
      </c>
      <c r="DU27" s="194" t="s">
        <v>521</v>
      </c>
      <c r="DV27" s="194" t="s">
        <v>522</v>
      </c>
      <c r="DW27" s="193" t="s">
        <v>538</v>
      </c>
      <c r="DX27" s="168" t="s">
        <v>540</v>
      </c>
      <c r="DY27" s="168" t="s">
        <v>541</v>
      </c>
      <c r="DZ27" s="169" t="s">
        <v>516</v>
      </c>
      <c r="EA27" s="195" t="s">
        <v>542</v>
      </c>
      <c r="EB27" s="195" t="s">
        <v>544</v>
      </c>
      <c r="EC27" s="195" t="s">
        <v>545</v>
      </c>
      <c r="ED27" s="196" t="s">
        <v>547</v>
      </c>
      <c r="EE27" s="197" t="s">
        <v>548</v>
      </c>
      <c r="EF27" s="197" t="s">
        <v>549</v>
      </c>
      <c r="EG27" s="197" t="s">
        <v>522</v>
      </c>
      <c r="EH27" s="197" t="s">
        <v>550</v>
      </c>
      <c r="EI27" s="197" t="s">
        <v>551</v>
      </c>
      <c r="EJ27" s="197" t="s">
        <v>590</v>
      </c>
      <c r="EK27" s="197" t="s">
        <v>591</v>
      </c>
      <c r="EL27" s="198" t="s">
        <v>588</v>
      </c>
      <c r="EM27" s="199" t="s">
        <v>552</v>
      </c>
      <c r="EN27" s="200" t="s">
        <v>546</v>
      </c>
      <c r="EO27" s="201" t="s">
        <v>558</v>
      </c>
      <c r="EP27" s="202" t="s">
        <v>516</v>
      </c>
      <c r="EQ27" s="199" t="s">
        <v>553</v>
      </c>
      <c r="ER27" s="199" t="s">
        <v>554</v>
      </c>
      <c r="ES27" s="203" t="s">
        <v>560</v>
      </c>
      <c r="ET27" s="203" t="s">
        <v>561</v>
      </c>
      <c r="EU27" s="203" t="s">
        <v>559</v>
      </c>
      <c r="EV27" s="204" t="s">
        <v>516</v>
      </c>
      <c r="EW27" s="203" t="s">
        <v>562</v>
      </c>
      <c r="EX27" s="203" t="s">
        <v>563</v>
      </c>
      <c r="EY27" s="203" t="s">
        <v>564</v>
      </c>
      <c r="EZ27" s="204" t="s">
        <v>516</v>
      </c>
      <c r="FA27" s="204" t="s">
        <v>577</v>
      </c>
      <c r="FB27" s="204"/>
      <c r="FC27" s="204"/>
      <c r="FD27" s="204" t="s">
        <v>516</v>
      </c>
      <c r="FE27" s="204" t="s">
        <v>582</v>
      </c>
      <c r="FF27" s="205" t="s">
        <v>585</v>
      </c>
      <c r="FG27" s="205" t="s">
        <v>586</v>
      </c>
      <c r="FH27" s="205" t="s">
        <v>587</v>
      </c>
      <c r="FI27" s="205" t="s">
        <v>589</v>
      </c>
      <c r="FJ27" s="205" t="s">
        <v>516</v>
      </c>
      <c r="FK27" s="204" t="s">
        <v>578</v>
      </c>
      <c r="FL27" s="204" t="s">
        <v>579</v>
      </c>
      <c r="FM27" s="204" t="s">
        <v>580</v>
      </c>
      <c r="FN27" s="204" t="s">
        <v>581</v>
      </c>
      <c r="FO27" s="204" t="s">
        <v>516</v>
      </c>
      <c r="FP27" s="206" t="s">
        <v>432</v>
      </c>
      <c r="FQ27" s="300" t="s">
        <v>593</v>
      </c>
      <c r="FR27" s="300"/>
      <c r="FU27" s="121">
        <f>35*$AA$5</f>
        <v>35</v>
      </c>
      <c r="FV27" s="118">
        <f>$AA$6</f>
        <v>1</v>
      </c>
      <c r="FW27" s="115"/>
      <c r="FX27" s="115"/>
      <c r="FY27" s="120"/>
      <c r="GF27" s="108"/>
      <c r="GG27" s="108"/>
      <c r="GH27" s="110"/>
      <c r="GI27" s="111"/>
      <c r="GJ27" s="172"/>
      <c r="GK27" s="139"/>
      <c r="GL27" s="110"/>
      <c r="GM27" s="111"/>
      <c r="GN27" s="112"/>
      <c r="GO27" s="112"/>
      <c r="GP27" s="112"/>
      <c r="GQ27" s="112"/>
      <c r="GR27" s="112"/>
      <c r="GS27" s="112"/>
      <c r="HM27" s="297" t="s">
        <v>421</v>
      </c>
      <c r="HN27" s="297"/>
      <c r="HO27" s="297"/>
      <c r="HP27" s="297"/>
      <c r="HQ27" s="297"/>
      <c r="HR27" s="297"/>
      <c r="HS27" s="297"/>
      <c r="HT27" s="297"/>
      <c r="HU27" s="275" t="s">
        <v>211</v>
      </c>
      <c r="HV27" s="275"/>
      <c r="HW27" s="275"/>
      <c r="HX27" s="275"/>
      <c r="HY27" s="275"/>
      <c r="HZ27" s="275"/>
      <c r="IA27" s="275"/>
      <c r="IB27" s="275"/>
      <c r="IC27" s="275"/>
      <c r="ID27" s="275"/>
      <c r="IE27" s="293" t="s">
        <v>210</v>
      </c>
      <c r="IF27" s="293"/>
      <c r="IG27" s="293"/>
      <c r="IH27" s="293"/>
      <c r="II27" s="293"/>
      <c r="IJ27" s="293"/>
      <c r="IK27" s="293"/>
      <c r="IL27" s="293"/>
      <c r="IM27" s="293"/>
      <c r="IN27" s="293"/>
    </row>
    <row r="28" spans="1:262" s="1" customFormat="1" x14ac:dyDescent="0.25">
      <c r="C28" s="221" t="s">
        <v>602</v>
      </c>
      <c r="D28" s="61">
        <f>IF(COUNT($CU$28:CU28)=MATCH(CT28,$CT$28:CT28,0),CT28,"")</f>
        <v>-1</v>
      </c>
      <c r="E28" s="152" t="str">
        <f>IF(D28="","","АВДТ")</f>
        <v>АВДТ</v>
      </c>
      <c r="F28" s="152">
        <f>IF(D28="","",1)</f>
        <v>1</v>
      </c>
      <c r="G28" s="152" t="str">
        <f>IF(D28="","","АВ")</f>
        <v>АВ</v>
      </c>
      <c r="H28" s="61" t="e">
        <f ca="1">IF(E28="","",IF(F28="",BY28&amp;", "&amp;BZ28&amp;", "&amp;CA28&amp;" (Iгр="&amp;BL28&amp;"А)",IF(MATCH(F28,$F$28:F28,0)=MATCH(F28,$F$28:F28,1),BY28&amp;", "&amp;BZ28&amp;", "&amp;CA28&amp;" (Iгр="&amp;BL28&amp;"А)","")))</f>
        <v>#N/A</v>
      </c>
      <c r="I28" s="61" t="e">
        <f ca="1">IF(G28="","",CQ28&amp;", "&amp;CR28&amp;", "&amp;CS28)</f>
        <v>#N/A</v>
      </c>
      <c r="J28" s="105" t="e">
        <f ca="1">AY28</f>
        <v>#N/A</v>
      </c>
      <c r="K28" s="61" t="e">
        <f ca="1">IF(D28="","",AC28&amp;"кВт; "&amp;Q28&amp;"В; "&amp;AD28&amp;"A; "&amp;AE28&amp;"; dU="&amp;AH28)</f>
        <v>#N/A</v>
      </c>
      <c r="L28" s="207" t="e">
        <f>IF(CX28=0,IF($L$23=1,AN28,P28),"")</f>
        <v>#N/A</v>
      </c>
      <c r="M28" s="207" t="e">
        <f>IF(CX28=1,IF($L$23=1,AN28,P28),"")</f>
        <v>#N/A</v>
      </c>
      <c r="N28" s="207" t="e">
        <f>IF(CX28=2,IF($L$23=1,AN28,P28),"")</f>
        <v>#N/A</v>
      </c>
      <c r="O28" s="61" t="e">
        <f>AO28&amp;";L="&amp;AP28</f>
        <v>#N/A</v>
      </c>
      <c r="P28" s="53">
        <f>'&lt;zalldev&gt;EXPORT'!D11</f>
        <v>0</v>
      </c>
      <c r="Q28" s="60" t="e">
        <f ca="1">IF(IFERROR(CV28,1)=1,INDEX(BD!$B$4:$B$5,MATCH('&lt;zalldev&gt;EXPORT'!AB11,BD!$A$4:$A$5,0)),INDIRECT("'"&amp;P28&amp;"'!"&amp;"G1"))</f>
        <v>#N/A</v>
      </c>
      <c r="R28" s="60" t="e">
        <f ca="1">IF(IFERROR(CV28,1)=1,INDEX(BD!$B$10:$B$13,MATCH('&lt;zalldev&gt;EXPORT'!AE11,BD!$A$10:$A$13,0)),INDIRECT("'"&amp;P28&amp;"'!"&amp;"H1"))</f>
        <v>#N/A</v>
      </c>
      <c r="S28" s="60">
        <f ca="1">IF(IFERROR(CV28,1)=1,X28*W28,INDIRECT("'"&amp;P28&amp;"'!"&amp;"E1"))</f>
        <v>0</v>
      </c>
      <c r="T28" s="60">
        <f ca="1">IF(IFERROR(CV28,1)=1,'&lt;zalldev&gt;EXPORT'!Y11,INDIRECT("'"&amp;P28&amp;"'!"&amp;"F1"))</f>
        <v>0</v>
      </c>
      <c r="U28" s="52" t="e">
        <f ca="1">ROUNDUP((S28*1000)/(INDEX(BD!$C$4:$C$5,MATCH(Q28,BD!$B$4:$B$5,0))*T28),2)</f>
        <v>#N/A</v>
      </c>
      <c r="V28" s="53">
        <f ca="1">ROUNDUP(S28*ROUNDUP(TAN(ACOS(T28)),2),2)</f>
        <v>0</v>
      </c>
      <c r="W28" s="53">
        <f>'&lt;zalldev&gt;EXPORT'!V11</f>
        <v>0</v>
      </c>
      <c r="X28" s="53">
        <f>'&lt;zalldev&gt;EXPORT'!BA11</f>
        <v>1</v>
      </c>
      <c r="Y28" s="53">
        <v>1</v>
      </c>
      <c r="Z28" s="173" t="s">
        <v>315</v>
      </c>
      <c r="AA28" s="53">
        <f>'&lt;zalldev&gt;EXPORT'!P11</f>
        <v>0</v>
      </c>
      <c r="AB28" s="58">
        <v>1</v>
      </c>
      <c r="AC28" s="58">
        <f ca="1">IF(D28="","",AB28*SUMIFS($S$28:$S$700000,$CT$28:$CT$700000,CT28))</f>
        <v>0</v>
      </c>
      <c r="AD28" s="58" t="e">
        <f ca="1">IF(D28="","",ROUNDUP((AC28*1000)/(INDEX(BD!$C$4:$C$5,MATCH(Q28,BD!$B$4:$B$5,0))*AE28),2))</f>
        <v>#N/A</v>
      </c>
      <c r="AE28" s="58" t="e">
        <f ca="1">IF(D28="","",ROUNDUP(COS(ATAN(ROUNDUP(AF28/AC28,2))),2))</f>
        <v>#DIV/0!</v>
      </c>
      <c r="AF28" s="58">
        <f ca="1">IF(D28="","",AB28*SUMIFS($V$28:$V$12004,$CT$28:$CT$12004,CT28))</f>
        <v>0</v>
      </c>
      <c r="AG28" s="58">
        <f ca="1">IF(D28="","",ROUNDUP(SQRT(AC28*AC28+AF28*AF28),2))</f>
        <v>0</v>
      </c>
      <c r="AH28" s="58" t="e">
        <f ca="1">IF(D28="","",ROUNDUP((1/1000)*(100/Q28)*IF(Q28&lt;380,2,SQRT(3))*AD28*AP28*(INDEX(INDIRECT("BDКаб!"&amp;INDEX(BDКаб!$C$4:$AH$4,1,MATCH(AQ28&amp;AR28&amp;AS28&amp;"R",BDКаб!$C$3:$AH$3,0))),MATCH(AU28,BDКаб!$B$5:$B$20,0))*AE28 + INDEX(INDIRECT("BDКаб!"&amp;INDEX(BDКаб!$C$4:$AH$4,1,MATCH(AQ28&amp;AR28&amp;AS28&amp;"X",BDКаб!$C$3:$AH$3,0))),MATCH(AU28,BDКаб!$B$5:$B$20,0))*SQRT(1-AE28*AE28)),2))</f>
        <v>#N/A</v>
      </c>
      <c r="AI28" s="104" t="e">
        <f>IF(CX28=0,IF(DB28=0,S28,S28+SUMIF(CY28:$CY$700000,P28,AJ28:$AJ$700000)),"")</f>
        <v>#N/A</v>
      </c>
      <c r="AJ28" s="104" t="e">
        <f>IF(CX28=1,IF(DB28=0,S28,S28+SUMIF(CY28:$CY$700000,P28,AK28:$AK$700000)),"")</f>
        <v>#N/A</v>
      </c>
      <c r="AK28" s="104" t="e">
        <f>IF(CX28=2,S28,"")</f>
        <v>#N/A</v>
      </c>
      <c r="AL28" s="57">
        <f>IF(D28="","",1.3)</f>
        <v>1.3</v>
      </c>
      <c r="AM28" s="57" t="e">
        <f>IF(AN28="","",3)</f>
        <v>#N/A</v>
      </c>
      <c r="AN28" s="58" t="e">
        <f>IF(COUNT($CT$28:CT28)=MATCH('&lt;zalldev&gt;EXPORT'!J11&amp;"."&amp;'&lt;zalldev&gt;EXPORT'!M11,$DA$28:DA28,0),'&lt;zalldev&gt;EXPORT'!J11&amp;"."&amp;'&lt;zalldev&gt;EXPORT'!M11,"")</f>
        <v>#N/A</v>
      </c>
      <c r="AO28" s="58" t="e">
        <f>IF(AN28="","",AV28&amp;"-"&amp;AT28&amp;"х"&amp;AU28&amp;"мм²")</f>
        <v>#N/A</v>
      </c>
      <c r="AP28" s="94" t="e">
        <f>IF(AN28="","",INDEX('&lt;zallcab&gt;CALC'!$X$7:$X$700000,MATCH(AN28,'&lt;zallcab&gt;CALC'!$D$7:$D$700000,0)))</f>
        <v>#N/A</v>
      </c>
      <c r="AQ28" s="57" t="e">
        <f>IF(AN28="","","М")</f>
        <v>#N/A</v>
      </c>
      <c r="AR28" s="57" t="e">
        <f>IF(AN28="","","М")</f>
        <v>#N/A</v>
      </c>
      <c r="AS28" s="57" t="e">
        <f>IF(AN28="","","В")</f>
        <v>#N/A</v>
      </c>
      <c r="AT28" s="59" t="e">
        <f>IF(AN28="","",IF(Q28=380,5,3))</f>
        <v>#N/A</v>
      </c>
      <c r="AU28" s="59" t="e">
        <f>IF(AN28="","",IF(AZ28&gt;IF(BB28&gt;BC28,BB28,BC28),AZ28,IF(BB28&gt;BC28,BB28,BC28)))</f>
        <v>#N/A</v>
      </c>
      <c r="AV28" s="59" t="e">
        <f>IF(AN28="","","ВВГнг(А)-LS")</f>
        <v>#N/A</v>
      </c>
      <c r="AW28" s="59" t="e">
        <f>IF(AT28="","",AT28&amp;"x"&amp;AU28)</f>
        <v>#N/A</v>
      </c>
      <c r="AX28" s="59" t="e">
        <f>IF(AN28="","",(AM28*380*1000)/(SQRT(3)*IF(AN28="","",IF(D28="",ROUNDUP((SUM(AI28:AK28)*1000)/(INDEX(BD!$C$4:$C$5,MATCH(Q28,BD!$B$4:$B$5,0))*T28),2),AD28))*AP28*100))</f>
        <v>#N/A</v>
      </c>
      <c r="AY28" s="59" t="e">
        <f ca="1">IF(AN28="","",INDEX(INDIRECT("BDКаб!"&amp;INDEX(BDКаб!$B$4:$AH$4,MATCH(AQ28&amp;AR28&amp;AS28&amp;"I",BDКаб!$B$3:$AH$3,0))),MATCH(AU28,BDКаб!$B$5:$B$20,1)))</f>
        <v>#N/A</v>
      </c>
      <c r="AZ28" s="57"/>
      <c r="BA28" s="57"/>
      <c r="BB28" s="173" t="e">
        <f ca="1">IF(AN28="","",INDEX(BDКаб!$B$5:$B$12,MATCH(AX28,INDIRECT("BDКаб!"&amp;INDEX(BDКаб!$B$4:$AH$4,MATCH(AQ28&amp;AR28&amp;AS28&amp;"Z",BDКаб!$B$3:$AH$3,0))),-1)+1))</f>
        <v>#N/A</v>
      </c>
      <c r="BC28" s="173" t="e">
        <f ca="1">IF(AN28="","",INDEX(BDКаб!$B$5:$B$20,MATCH(IF(AN28="","",IF(E28="",U28,AD28)),INDIRECT("BDКаб!"&amp;INDEX(BDКаб!$B$4:$AH$4,MATCH(AQ28&amp;AR28&amp;AS28&amp;"I",BDКаб!$B$3:$AH$3,0))),1)+1))</f>
        <v>#N/A</v>
      </c>
      <c r="BD28" s="153" t="str">
        <f>IF(E28="","",E28)</f>
        <v>АВДТ</v>
      </c>
      <c r="BE28" s="153">
        <f>IF(F28="","",F28)</f>
        <v>1</v>
      </c>
      <c r="BF28" s="153" t="e">
        <f ca="1">IF(AD28="","",AD28)</f>
        <v>#N/A</v>
      </c>
      <c r="BG28" s="153" t="e">
        <f ca="1">IF(BD28="","",IF(Q28&lt;380,1,3))</f>
        <v>#N/A</v>
      </c>
      <c r="BH28" s="154">
        <f>IF(BD28="","",IF(F28="",1,IF(MATCH(F28,$F$28:F28,0)=MATCH(F28,$F$28:F28,1),1,"")))</f>
        <v>1</v>
      </c>
      <c r="BI28" s="154">
        <f ca="1">IF(BH28=1,IF(BD28="","",IF(BE28="",BG28,IF(COUNTIFS($BE$28:$BE$700000,BE28,$BG$28:$BG$700000,3)&gt;0,3,1))),"")</f>
        <v>1</v>
      </c>
      <c r="BJ28" s="155"/>
      <c r="BK28" s="156">
        <f ca="1">IF(BH28=1,IF(BJ28="",BI28,BJ28),"")</f>
        <v>1</v>
      </c>
      <c r="BL28" s="157" t="e">
        <f ca="1">IF(BH28=1,IF(BD28="","",IF(BE28="",BF28,SUMIFS($BF$28:$BF$500004,$BE$28:$BE$500004,BE28))),"")</f>
        <v>#N/A</v>
      </c>
      <c r="BM28" s="155">
        <f>IF(BH28=1,IF(BD28="","",1.3),"")</f>
        <v>1.3</v>
      </c>
      <c r="BN28" s="157" t="e">
        <f ca="1">IF(BH28=1,IF(BD28="","",IF(BM28="",BL28*1.3,BM28*BL28)),"")</f>
        <v>#N/A</v>
      </c>
      <c r="BO28" s="157" t="e">
        <f ca="1">IF(BH28=1,IF(BD28="","",INDEX(INDIRECT("BD!"&amp;INDEX(BD!$K$5:$CA$5,1,MATCH(BD28&amp;"I",BD!$K$4:$CB$4,0))),MATCH(BN28,INDIRECT("BD!"&amp;INDEX(BD!$K$5:$CA$5,1,MATCH(BD28&amp;"I",BD!$K$4:$CB$4,0))),-1))),"")</f>
        <v>#N/A</v>
      </c>
      <c r="BP28" s="155">
        <f>IF(BH28=1,IF(BD28="","",10),"")</f>
        <v>10</v>
      </c>
      <c r="BQ28" s="155"/>
      <c r="BR28" s="157" t="e">
        <f ca="1">IF(BD28="","",IF(BQ28="",IF(BO28&gt;=BP28,BO28,BP28),BQ28))</f>
        <v>#N/A</v>
      </c>
      <c r="BS28" s="157"/>
      <c r="BT28" s="155" t="str">
        <f>IF(BH28="","","C")</f>
        <v>C</v>
      </c>
      <c r="BU28" s="155" t="str">
        <f>IF(BH28="","",INDEX(BD!$D$57:$D$61,MATCH($BD28,BD!$C$57:$C$61,0)))</f>
        <v>N</v>
      </c>
      <c r="BV28" s="154">
        <f ca="1">IF(BH28=1,BK28+IF(BU28="N",1,0),"")</f>
        <v>2</v>
      </c>
      <c r="BW28" s="156" t="str">
        <f ca="1">IF(BH28=1,IF(BU28="N",BK28&amp;"P+N",BK28&amp;"P"),"")</f>
        <v>1P+N</v>
      </c>
      <c r="BX28" s="156" t="str">
        <f>IF(BH28="","",IF(BD28="АВДТ","30мА",IF(BD28="УЗО","30мА","")))</f>
        <v>30мА</v>
      </c>
      <c r="BY28" s="156" t="e">
        <f ca="1">IF(BH28="","",INDEX(INDIRECT("BD!"&amp;INDEX(BD!$K$5:$CA$5,1,MATCH(E28&amp;"О",BD!$K$4:$CB$4,0))),MATCH(BO28,INDIRECT("BD!"&amp;INDEX(BD!$K$5:$CA$5,1,MATCH(E28&amp;"I",BD!$K$4:$CB$4,0))),0))&amp;D28)</f>
        <v>#N/A</v>
      </c>
      <c r="BZ28" s="160" t="e">
        <f ca="1">IF(BH28="","",INDEX(INDIRECT("BD!"&amp;INDEX(BD!$K$5:$CA$5,1,MATCH(E28&amp;"М",BD!$K$4:$CB$4,0))),MATCH(BO28,INDIRECT("BD!"&amp;INDEX(BD!$K$5:$CA$5,1,MATCH(E28&amp;"I",BD!$K$4:$CB$4,0))),0)))</f>
        <v>#N/A</v>
      </c>
      <c r="CA28" s="159" t="e">
        <f ca="1">IF(BH28="","",BW28&amp;","&amp;BR28&amp;"А,"&amp;BT28&amp;IF(BX28="","",","&amp;BX28))</f>
        <v>#N/A</v>
      </c>
      <c r="CB28" s="208" t="str">
        <f>IF(G28=0,"",G28)</f>
        <v>АВ</v>
      </c>
      <c r="CC28" s="153" t="e">
        <f ca="1">IF(CB28="","",IF(Q28&lt;380,1,3))</f>
        <v>#N/A</v>
      </c>
      <c r="CD28" s="153" t="e">
        <f ca="1">IF(CB28="","",AD28)</f>
        <v>#N/A</v>
      </c>
      <c r="CE28" s="155">
        <f>IF(CB28="","",1.3)</f>
        <v>1.3</v>
      </c>
      <c r="CF28" s="157" t="e">
        <f ca="1">IF(CB28="","",CD28*CE28)</f>
        <v>#N/A</v>
      </c>
      <c r="CG28" s="157" t="e">
        <f ca="1">IF(CB28="","",INDEX(INDIRECT("BD!"&amp;INDEX(BD!$K$5:$CD$5,1,MATCH(CB28&amp;"I",BD!$K$4:$CE$4,0))),MATCH(CF28,INDIRECT("BD!"&amp;INDEX(BD!$K$5:$CD$5,1,MATCH(CB28&amp;"I",BD!$K$4:$CE$4,0))),-1)))</f>
        <v>#N/A</v>
      </c>
      <c r="CH28" s="155">
        <f>IF(CB28="","",10)</f>
        <v>10</v>
      </c>
      <c r="CI28" s="155"/>
      <c r="CJ28" s="157" t="e">
        <f ca="1">IF(CB28="","",IF(CI28="",IF(CG28&gt;=CH28,CG28,CH28),CI28))</f>
        <v>#N/A</v>
      </c>
      <c r="CK28" s="157"/>
      <c r="CL28" s="155" t="str">
        <f>IF(CB28="","","C")</f>
        <v>C</v>
      </c>
      <c r="CM28" s="155">
        <f>IF(CB28="","",INDEX(BD!$D$57:$D$61,MATCH($CB28,BD!$C$57:$C$61,0)))</f>
        <v>0</v>
      </c>
      <c r="CN28" s="154" t="e">
        <f ca="1">IF(CB28="","",CC28+IF(CM28="N",1,0))</f>
        <v>#N/A</v>
      </c>
      <c r="CO28" s="156" t="e">
        <f ca="1">IF(CB28="","",IF(CM28="N",CC28&amp;"P+N",CC28&amp;"P"))</f>
        <v>#N/A</v>
      </c>
      <c r="CP28" s="156" t="str">
        <f>IF(CB28="","",IF(CB28="АВДТ","30мА",IF(CB28="УЗО","30мА","")))</f>
        <v/>
      </c>
      <c r="CQ28" s="156" t="e">
        <f ca="1">IF(CB28="","",INDEX(INDIRECT("BD!"&amp;INDEX(BD!$K$5:$CD$5,1,MATCH(G28&amp;"О",BD!$K$4:$CE$4,0))),MATCH(CG28,INDIRECT("BD!"&amp;INDEX(BD!$K$5:$CD$5,1,MATCH(G28&amp;"I",BD!$K$4:$CE$4,0))),0))&amp;D28)</f>
        <v>#N/A</v>
      </c>
      <c r="CR28" s="160" t="e">
        <f ca="1">IF(CB28="","",INDEX(INDIRECT("BD!"&amp;INDEX(BD!$K$5:$CD$5,1,MATCH(G28&amp;"М",BD!$K$4:$CE$4,0))),MATCH(CG28,INDIRECT("BD!"&amp;INDEX(BD!$K$5:$CD$5,1,MATCH(G28&amp;"I",BD!$K$4:$CE$4,0))),0)))</f>
        <v>#N/A</v>
      </c>
      <c r="CS28" s="159" t="e">
        <f ca="1">IF(CB28="","",CO28&amp;","&amp;CJ28&amp;"А,"&amp;CL28&amp;IF(CP28="","",","&amp;CP28))</f>
        <v>#N/A</v>
      </c>
      <c r="CT28" s="209">
        <f>'&lt;zalldev&gt;EXPORT'!AX11</f>
        <v>-1</v>
      </c>
      <c r="CU28" s="209">
        <f>COUNT($CT$28:CT28)</f>
        <v>1</v>
      </c>
      <c r="CV28" s="209" t="e">
        <f ca="1">INDIRECT("'"&amp;P28&amp;"'!"&amp;"X14")</f>
        <v>#REF!</v>
      </c>
      <c r="CW28" s="209" t="str">
        <f>'&lt;zalldev&gt;EXPORT'!AY11</f>
        <v>-1</v>
      </c>
      <c r="CX28" s="210" t="e">
        <f>'&lt;zalldev&gt;EXPORT'!BG11-$U$16-1</f>
        <v>#N/A</v>
      </c>
      <c r="CY28" s="210">
        <f>'&lt;zalldev&gt;EXPORT'!J11</f>
        <v>0</v>
      </c>
      <c r="CZ28" s="210">
        <f>'&lt;zalldev&gt;EXPORT'!M11*1</f>
        <v>0</v>
      </c>
      <c r="DA28" s="210" t="str">
        <f>CY28&amp;"."&amp;CZ28</f>
        <v>0.0</v>
      </c>
      <c r="DB28" s="210">
        <f>'&lt;zalldev&gt;EXPORT'!BF11*1</f>
        <v>0</v>
      </c>
      <c r="DC28" s="211">
        <f>IF(COUNT($CT$28:CT28)=1,1,IF(INDEX($CT$28:CT28,COUNT($CT$28:CT28)-1)=INDEX($CT$28:CT28,COUNT($CT$28:CT28)),0,COUNT($CT$28:CT28)))*1</f>
        <v>1</v>
      </c>
      <c r="DD28" s="211">
        <f>IF(DB28&gt;0,IF(CX28=0,SUMIFS(CW28:$CW$700000,CT28:$CT$700000,CT28,CX28:$CX$700000,1),0),0)*1</f>
        <v>0</v>
      </c>
      <c r="DE28" s="212">
        <f>IF('&lt;zalldev&gt;EXPORT'!W11=0,'&lt;zalldev&gt;EXPORT'!W11,1)</f>
        <v>0</v>
      </c>
      <c r="DF28" s="213">
        <f>IF(SUMIF($CT$28:$CT$700000,CT28,$DB$28:$DB$700000)&gt;0,1,0)</f>
        <v>0</v>
      </c>
      <c r="DG28" s="213">
        <f>IF($H$5=CY28,1,0)</f>
        <v>1</v>
      </c>
      <c r="DH28" s="214" t="e">
        <f>IF(CX28=0,IF(DF28=0,0,DA28),IF(CX28=1,INDEX($DH$28:DH28,CU28-1),IF(CX28=2,INDEX($DH$28:DH28,CU28-1),0)))</f>
        <v>#N/A</v>
      </c>
      <c r="DI28" s="214">
        <f>IF(DF28=1,MATCH(DH28,$DH$28:DH28,0),0)</f>
        <v>0</v>
      </c>
      <c r="DJ28" s="214">
        <f>IF(COUNTIF(DA28:$DA$699946,DH28)&gt;0,IF(DI28=CU28,0,1),0)</f>
        <v>0</v>
      </c>
      <c r="DK28" s="213" t="e">
        <f>IF(CX28=0,IF(DB28&gt;0,1,0),0)</f>
        <v>#N/A</v>
      </c>
      <c r="DL28" s="213">
        <f>IF(SUMIF($DO$28:$DO$700000,P28,$DS$28:$DS$700000)&gt;0,1,0)</f>
        <v>0</v>
      </c>
      <c r="DM28" s="215" t="e">
        <f>IF(DH28=0,0,IF(SUMIF($DH$28:$DH$700000,DH28,$DL$28:$DL$700000)&gt;0,1,0))</f>
        <v>#N/A</v>
      </c>
      <c r="DN28" s="215" t="e">
        <f>IF(DH28=0,0,IF(SUMIF($EE$28:$EE$700000,EE28,$DS$28:$DS$700000)&gt;0,1,0))</f>
        <v>#N/A</v>
      </c>
      <c r="DO28" s="166" t="e">
        <f>IF(CX28=1,CY28,IF(CX28=2,INDEX($DO$28:DO28,CU28-1),0))</f>
        <v>#N/A</v>
      </c>
      <c r="DP28" s="166" t="e">
        <f>IF(CX28=1,MATCH(DO28,$DO$28:DO28,0),IF(CX28=2,INDEX($DP$28:DP28,CU28-1),0))</f>
        <v>#N/A</v>
      </c>
      <c r="DQ28" s="166">
        <f>COUNTIF($DO$28:$DO$700000,DO28)</f>
        <v>1</v>
      </c>
      <c r="DR28" s="213" t="e">
        <f>IF(DO28=0,0,IF(CU28&gt;=DP28,IF(CU28&lt;=DP28+DQ28,1,0),0))</f>
        <v>#N/A</v>
      </c>
      <c r="DS28" s="213">
        <f>IF(DB28&gt;0,IF(CX28=1,1,0),0)</f>
        <v>0</v>
      </c>
      <c r="DT28" s="166" t="e">
        <f>IF(CX28=2,CY28,IF(CX28=2,INDEX($DT$28:DT28,CU28-1),0))</f>
        <v>#N/A</v>
      </c>
      <c r="DU28" s="166" t="e">
        <f>IF(CX28=2,MATCH(DT28,$DT$28:DT28,0),IF(CX28=2,INDEX($DU$28:DU28,CU28-1),0))</f>
        <v>#N/A</v>
      </c>
      <c r="DV28" s="166">
        <f>COUNTIF($DT$28:$DT$700000,DT28)</f>
        <v>1</v>
      </c>
      <c r="DW28" s="213" t="e">
        <f>IF(DT28=0,0,IF(CU28&gt;=DU28,IF(CU28&lt;=DU28+DV28,1,0),0))</f>
        <v>#N/A</v>
      </c>
      <c r="DX28" s="170">
        <f>IF(MATCH(CT28,$CT$28:CT28,0)=COUNT($CT$28:CT28),COUNTIFS(F28:$F$120004,F28),0)*1</f>
        <v>1</v>
      </c>
      <c r="DY28" s="170">
        <f>IF(INDEX($DX$28:DX28,MATCH(CT28,$CT$28:CT28,0))&gt;1,IF(DX28=0,2,1),IF(DX28=1,1,0))*1</f>
        <v>1</v>
      </c>
      <c r="DZ28" s="171" t="e">
        <f ca="1">IF(H28&lt;&gt;"",0,IF(DX28=0,IF(DY28=0,3,DY28),DY28))</f>
        <v>#N/A</v>
      </c>
      <c r="EA28" s="216" t="e">
        <f t="shared" ref="EA28" ca="1" si="5">IF(DZ28=0,1,IF(DZ28=1,1,0))</f>
        <v>#N/A</v>
      </c>
      <c r="EB28" s="216" t="e">
        <f>IF(SUM(EC28,EN28)&gt;0,1,0)</f>
        <v>#N/A</v>
      </c>
      <c r="EC28" s="216" t="e">
        <f>INDEX($DK$28:DK28,CU28-1)</f>
        <v>#N/A</v>
      </c>
      <c r="ED28" s="216">
        <f>IF(INDEX($DL$28:DL28,CU28-1)&gt;0,1,0)</f>
        <v>0</v>
      </c>
      <c r="EE28" s="217" t="e">
        <f>IF(DO28=0,0,IF(INDEX($DO$28:DO28,CU28-1)=0,DA28,IF(DO28=INDEX($DO$28:DO28,CU28-1),IF(DO28=CY28,DA28,INDEX($EE$28:EE28,CU28-1)),0)))</f>
        <v>#N/A</v>
      </c>
      <c r="EF28" s="217" t="e">
        <f>IF(EE28=0,0,MATCH(EE28,$DA$28:DA28,0))</f>
        <v>#N/A</v>
      </c>
      <c r="EG28" s="217">
        <f>COUNTIF(DA28:$DA$700000,EE28)</f>
        <v>0</v>
      </c>
      <c r="EH28" s="217" t="e">
        <f>IF(EE28=0,0,IF(INDEX($EE$28:EE28,CU28-1)=EE28,0,1))</f>
        <v>#N/A</v>
      </c>
      <c r="EI28" s="217" t="e">
        <f>IF(EH28=1,0,IF(EG28&gt;0,1,0))</f>
        <v>#N/A</v>
      </c>
      <c r="EJ28" s="217" t="e">
        <f>IF(EI28=1,IF(INDEX($EE$28:EE28,CU28-2)=EE28,1,0),0)</f>
        <v>#N/A</v>
      </c>
      <c r="EK28" s="217" t="e">
        <f>IF(INDEX($EJ$28:EJ28,CU28-1)=1,1,0)</f>
        <v>#N/A</v>
      </c>
      <c r="EL28" s="215" t="e">
        <f>IF(EE28=0,0,SUMIF(EE28:$EE$700000,EE28,DS28:$DS$700000))</f>
        <v>#N/A</v>
      </c>
      <c r="EM28" s="217" t="e">
        <f>IF(EJ28&gt;0,IF(INDEX($DO$28:DO28,CU28-1)=DO28,IF(DT28=0,IF(INDEX($DT$28:DT28,CU28-1)=DT28,0,1),0),0),0)</f>
        <v>#N/A</v>
      </c>
      <c r="EN28" s="216">
        <f>INDEX($DS$28:DS28,CU28-1)</f>
        <v>0</v>
      </c>
      <c r="EO28" s="218">
        <f>IF(DJ28=0,0,IF(CU28-1=DI28,1,0))</f>
        <v>0</v>
      </c>
      <c r="EP28" s="219" t="e">
        <f>_xlfn.IFS(IF(DM28,IF(EJ28,1,0),0),IF(EM28=1,0,IF(EK28=0,3,5)),ED28=1,IF(EO28=1,4,2),1,0)</f>
        <v>#N/A</v>
      </c>
      <c r="EQ28" s="173" t="e">
        <f>IF(DO28=0,0,IF(CU28&gt;=DP28,IF(CU28&lt;=DP28+DQ28,IF(SUMIF($DO$28:$DO$700000,DO28,$DW$28:$DW$700000)&gt;0,1,0),0),0))</f>
        <v>#N/A</v>
      </c>
      <c r="ER28" s="216" t="e">
        <f>IF(EQ28=0,0,IF(CU28&gt;=DP28,IF(CU28&lt;=DP28+DQ28,IF(SUMIF(DO28:$DO$700000,DO28,EH28:$EH$700000)&gt;0,1,0),0),0))</f>
        <v>#N/A</v>
      </c>
      <c r="ES28" s="219" t="e">
        <f>IF(EM28&gt;0,IF(ER28&gt;0,1,0),0)</f>
        <v>#N/A</v>
      </c>
      <c r="ET28" s="219" t="e">
        <f>IF(DR28&gt;0,IF(EP28=2,0,IF(ER28&gt;0,IF(EB28=0,1,0),0)),0)</f>
        <v>#N/A</v>
      </c>
      <c r="EU28" s="219">
        <f>IF(DJ28=0,0,IF(CU28-1=DI28,0,DJ28))</f>
        <v>0</v>
      </c>
      <c r="EV28" s="216" t="e">
        <f>_xlfn.IFS(ES28,4,EM28&gt;0,3,ET28,2,EU28,IF(EN28&gt;0,0,1),1,0)</f>
        <v>#N/A</v>
      </c>
      <c r="EW28" s="220">
        <f>IF(DC28&gt;0,1,0)</f>
        <v>1</v>
      </c>
      <c r="EX28" s="220">
        <f>IF(DF28=1,IF(DG28=1,1,0),0)</f>
        <v>0</v>
      </c>
      <c r="EY28" s="220" t="e">
        <f>IF(DW28=0,IF(DR28=1,1,0),0)</f>
        <v>#N/A</v>
      </c>
      <c r="EZ28" s="220">
        <f>_xlfn.IFS(EW28,4,IF(EH28,IF(DM28,1,0),0),2,EX28,1,DN28=0,0,IF(EY28=1,IF(EG28&gt;0,1,0),0),3,1,0)</f>
        <v>4</v>
      </c>
      <c r="FA28" s="220">
        <f>IF(INDEX($DA$28:DA28,CU28-1)=DA28,1,0)</f>
        <v>1</v>
      </c>
      <c r="FB28" s="220"/>
      <c r="FC28" s="220"/>
      <c r="FD28" s="220" t="e">
        <f>_xlfn.IFS(DK28,0,EB28,0,EW28,0,EP28=5,0,FA28,3,1,0)</f>
        <v>#N/A</v>
      </c>
      <c r="FE28" s="220" t="e">
        <f>_xlfn.IFS(DB28&gt;0,0,DW28,1,DR28,1,1,0)</f>
        <v>#N/A</v>
      </c>
      <c r="FF28" s="216" t="e">
        <f>IF(FE28=1,DA28,0)</f>
        <v>#N/A</v>
      </c>
      <c r="FG28" s="216" t="e">
        <f>IF(FF28=0,0,IF(INDEX($FF$28:FF28,CU28-1)=FF28,0,1))</f>
        <v>#N/A</v>
      </c>
      <c r="FH28" s="216" t="e">
        <f>IF(FF28=0,0,SUMIF(CY28:$CY$700000,CY28,FG28:$FG$700000))</f>
        <v>#N/A</v>
      </c>
      <c r="FI28" s="216" t="e">
        <f>IF(DR28=1,IF(DM28=1,IF(DW28=0,IF(DB28&gt;0,0,1),0),0),0)</f>
        <v>#N/A</v>
      </c>
      <c r="FJ28" s="216" t="e">
        <f>_xlfn.IFS(DK28,0,EB28,0,IF(FH28&gt;0,IF(FI28=0,1,0),0),4,1,0)</f>
        <v>#N/A</v>
      </c>
      <c r="FK28" s="220" t="e">
        <f>IF(FD28=3,1,0)</f>
        <v>#N/A</v>
      </c>
      <c r="FL28" s="220">
        <f>IF(EZ28=4,1,0)</f>
        <v>1</v>
      </c>
      <c r="FM28" s="220">
        <f>IF(DG28=0,1,0)</f>
        <v>0</v>
      </c>
      <c r="FN28" s="220" t="e">
        <f>IF(EB28=1,IF(DB28=0,1,0),0)</f>
        <v>#N/A</v>
      </c>
      <c r="FO28" s="220" t="e">
        <f>_xlfn.IFS(DK28,0,FK28,3,FN28,5,FL28,5,IF(FH28=1,IF(FJ28=4,1,0),0),4,FI28,5,1,0)</f>
        <v>#N/A</v>
      </c>
      <c r="FP28" s="211">
        <f>IF(CU28=1,0,IF(DB28=0,IF(INDEX($DB$28:$DB$700000,CU28-1)&gt;0,1,0),0))</f>
        <v>0</v>
      </c>
      <c r="FQ28" s="122" t="e">
        <f>"&lt;zsetformulatocell toSheet=[zallcabCALC]  toCell=["&amp;ADDRESS(MATCH(AN28,'&lt;zallcab&gt;CALC'!$D$7:$D$700000,0)+ROW('&lt;zallcab&gt;CALC'!$D$7)-1,COLUMN('&lt;zallcab&gt;CALC'!Y7)) &amp; "] formula=[fromSheet!"&amp;ADDRESS(ROW(AV28),COLUMN(AV28))&amp;"]"</f>
        <v>#N/A</v>
      </c>
      <c r="FR28" s="122" t="e">
        <f>"&lt;zsetformulatocell toSheet=[zallcabCALC]  toCell=["&amp;ADDRESS(MATCH(AN28,'&lt;zallcab&gt;CALC'!$D$7:$D$700000,0)+ROW('&lt;zallcab&gt;CALC'!$D$7)-1,COLUMN('&lt;zallcab&gt;CALC'!Z7)) &amp; "] formula=[fromSheet!"&amp;ADDRESS(ROW(AW28),COLUMN(AW28))&amp;"]"</f>
        <v>#N/A</v>
      </c>
      <c r="FS28" s="1" t="s">
        <v>209</v>
      </c>
      <c r="FT28" s="1" t="s">
        <v>208</v>
      </c>
      <c r="FU28" s="121">
        <f>$FU$27+25*$AA$5*CU28-COUNTIF($FP$28:FP28,1)*25*$AA$5</f>
        <v>60</v>
      </c>
      <c r="FV28" s="117">
        <v>0</v>
      </c>
      <c r="FW28" s="151">
        <f>$AA$5</f>
        <v>1</v>
      </c>
      <c r="FX28" s="151">
        <f>$AA$6</f>
        <v>1</v>
      </c>
      <c r="FY28" s="119">
        <v>0</v>
      </c>
      <c r="FZ28" s="1" t="s">
        <v>207</v>
      </c>
      <c r="GA28" s="1" t="e">
        <f ca="1">IF(R28="ABC","BOOLEAN_1","BOOLEAN_0")</f>
        <v>#N/A</v>
      </c>
      <c r="GB28" s="167" t="s">
        <v>206</v>
      </c>
      <c r="GC28" s="167" t="e">
        <f ca="1">"INTEGER_"&amp;DZ28</f>
        <v>#N/A</v>
      </c>
      <c r="GD28" s="109" t="s">
        <v>523</v>
      </c>
      <c r="GE28" s="162" t="e">
        <f ca="1">IF(H28="",IF(GC28&lt;&gt;"INTEGER_0","INTEGER_2","INTEGER_0"),IF(BU28&lt;&gt;"N","INTEGER_1","INTEGER_2"))</f>
        <v>#N/A</v>
      </c>
      <c r="GF28" s="109" t="s">
        <v>524</v>
      </c>
      <c r="GG28" s="161" t="e">
        <f ca="1">IF(GC28="INTEGER_2","INTEGER_2",IF(GC28="INTEGER_3","INTEGER_2",IF(CM28="N","INTEGER_2",IF(CM28=0,"INTEGER_1","INTEGER_0"))))</f>
        <v>#N/A</v>
      </c>
      <c r="GH28" s="110" t="s">
        <v>205</v>
      </c>
      <c r="GI28" s="158" t="e">
        <f>"INTEGER_"&amp;EP28</f>
        <v>#N/A</v>
      </c>
      <c r="GJ28" s="172" t="s">
        <v>204</v>
      </c>
      <c r="GK28" s="172" t="e">
        <f>"INTEGER_"&amp;EV28</f>
        <v>#N/A</v>
      </c>
      <c r="GL28" s="110" t="s">
        <v>203</v>
      </c>
      <c r="GM28" s="121" t="str">
        <f>"INTEGER_"&amp;EZ28</f>
        <v>INTEGER_4</v>
      </c>
      <c r="GN28" s="113" t="s">
        <v>202</v>
      </c>
      <c r="GO28" s="121" t="e">
        <f>"INTEGER_"&amp;FD28</f>
        <v>#N/A</v>
      </c>
      <c r="GP28" s="113" t="s">
        <v>201</v>
      </c>
      <c r="GQ28" s="113" t="e">
        <f>"INTEGER_"&amp;FJ28</f>
        <v>#N/A</v>
      </c>
      <c r="GR28" s="113" t="s">
        <v>200</v>
      </c>
      <c r="GS28" s="121" t="e">
        <f>"INTEGER_"&amp;FO28</f>
        <v>#N/A</v>
      </c>
      <c r="GT28" s="1" t="s">
        <v>199</v>
      </c>
      <c r="GU28" s="121">
        <f>IF(DB28&gt;0,"",IF(X28&gt;1,P28&amp;"("&amp;X28&amp;"шт.)",P28))</f>
        <v>0</v>
      </c>
      <c r="GV28" s="1" t="s">
        <v>198</v>
      </c>
      <c r="GW28" s="121">
        <f ca="1">IF(DB28&gt;0,"",S28)</f>
        <v>0</v>
      </c>
      <c r="GX28" s="1" t="s">
        <v>197</v>
      </c>
      <c r="GY28" s="121" t="e">
        <f ca="1">IF(DB28&gt;0,"",U28)</f>
        <v>#N/A</v>
      </c>
      <c r="GZ28" s="1" t="s">
        <v>196</v>
      </c>
      <c r="HA28" s="121" t="e">
        <f ca="1">IF(DB28&gt;0,"",AA28&amp;"\P~"&amp;Q28&amp;"V")</f>
        <v>#N/A</v>
      </c>
      <c r="HB28" s="56" t="s">
        <v>195</v>
      </c>
      <c r="HC28" s="56" t="str">
        <f>" "</f>
        <v xml:space="preserve"> </v>
      </c>
      <c r="HD28" s="56" t="s">
        <v>194</v>
      </c>
      <c r="HE28" s="121" t="str">
        <f>IFERROR(_xlfn.IFS(IF(DD28&gt;0,1,0),AO28,IF(DB28&gt;0,IF(EH28,1,0),0),AO28,IF(DD28=0,1,0),""),AO28)</f>
        <v/>
      </c>
      <c r="HF28" s="56" t="s">
        <v>193</v>
      </c>
      <c r="HG28" s="121" t="str">
        <f>IF(HE28="","","("&amp;AN28&amp;") L="&amp;AP28&amp;"м")</f>
        <v/>
      </c>
      <c r="HH28" s="56" t="s">
        <v>192</v>
      </c>
      <c r="HI28" s="121" t="e">
        <f>IF(HE28="",AO28,"")</f>
        <v>#N/A</v>
      </c>
      <c r="HJ28" s="56" t="str">
        <f>"VSCHEMACable22"</f>
        <v>VSCHEMACable22</v>
      </c>
      <c r="HK28" s="121" t="e">
        <f>IF(HG28="",IF(AP28&lt;&gt;"","("&amp;AN28&amp;") L="&amp;AP28&amp;"м"," "),"")</f>
        <v>#N/A</v>
      </c>
      <c r="HL28" s="1" t="s">
        <v>191</v>
      </c>
      <c r="HM28" s="151" t="s">
        <v>209</v>
      </c>
      <c r="HN28" s="121" t="str">
        <f>'&lt;zalldev&gt;EXPORT'!AP11</f>
        <v>&lt;zcadnameblock&gt;</v>
      </c>
      <c r="HO28" s="121" t="e">
        <f>FU28+12.5*$AA$5+INDEX(BDUGO!$D$4:$D$51,MATCH(IF(DB28&gt;0,"UU","")&amp;HN28,BDUGO!$C$4:$C$51,0))*$AA$5</f>
        <v>#N/A</v>
      </c>
      <c r="HP28" s="121" t="e">
        <f>FV28+42.5*$AA$6+INDEX(BDUGO!$E$4:$E$51,MATCH(IF(DB28&gt;0,"UU","")&amp;HN28,BDUGO!$C$4:$C$51,0))*$AA$6</f>
        <v>#N/A</v>
      </c>
      <c r="HQ28" s="121" t="e">
        <f>IF(INDEX(BDUGO!$F$4:$F$51,MATCH(IF(DB28&gt;0,"UU","")&amp;HN28,BDUGO!$C$4:$C$51,0))=0,1,INDEX(BDUGO!$F$4:$F$51,MATCH(IF(DB28&gt;0,"UU","")&amp;HN28,BDUGO!$C$4:$C$51,0)))*$AA$5</f>
        <v>#N/A</v>
      </c>
      <c r="HR28" s="121" t="e">
        <f>IF(INDEX(BDUGO!$G$4:$G$51,MATCH(IF(DB28&gt;0,"UU","")&amp;HN28,BDUGO!$C$4:$C$51,0))=0,1,INDEX(BDUGO!$G$4:$G$51,MATCH(IF(DB28&gt;0,"UU","")&amp;HN28,BDUGO!$C$4:$C$51,0)))*$AA$6</f>
        <v>#N/A</v>
      </c>
      <c r="HS28" s="121" t="e">
        <f>INDEX(BDUGO!$H$4:$H$51,MATCH(IF(DB28&gt;0,"UU","")&amp;HN28,BDUGO!$C$4:$C$51,0))</f>
        <v>#N/A</v>
      </c>
      <c r="HT28" s="151" t="s">
        <v>191</v>
      </c>
      <c r="HU28" s="1" t="e">
        <f ca="1">IF(H28&lt;&gt;"","&lt;zinsertblock&gt;","")</f>
        <v>#N/A</v>
      </c>
      <c r="HV28" s="1" t="e">
        <f ca="1">IF(HU28="","",INDEX(INDIRECT("BD!"&amp;INDEX(BD!$K$5:$CA$5,1,MATCH(E28&amp;"UGO",BD!$K$4:$CB$4,0))),MATCH(BO28,INDIRECT("BD!"&amp;INDEX(BD!$K$5:$CA$5,1,MATCH(E28&amp;"I",BD!$K$4:$CB$4,0))),0)))</f>
        <v>#N/A</v>
      </c>
      <c r="HW28" s="1" t="e">
        <f ca="1">IF(HU28="","",FU28+$AA$5*INDEX(INDIRECT("BD!"&amp;INDEX(BD!$K$5:$CA$5,1,MATCH(E28&amp;"MOVEX",BD!$K$4:$CB$4,0))),MATCH(BO28,INDIRECT("BD!"&amp;INDEX(BD!$K$5:$CA$5,1,MATCH(E28&amp;"I",BD!$K$4:$CB$4,0))),0)))</f>
        <v>#N/A</v>
      </c>
      <c r="HX28" s="1" t="e">
        <f ca="1">IF(HU28="","",FV28+$AA$6*INDEX(INDIRECT("BD!"&amp;INDEX(BD!$K$5:$CA$5,1,MATCH(E28&amp;"MOVEY",BD!$K$4:$CB$4,0))),MATCH(BO28,INDIRECT("BD!"&amp;INDEX(BD!$K$5:$CA$5,1,MATCH(E28&amp;"I",BD!$K$4:$CB$4,0))),0)))</f>
        <v>#N/A</v>
      </c>
      <c r="HY28" s="1">
        <f>$AA$5</f>
        <v>1</v>
      </c>
      <c r="HZ28" s="1">
        <f>$AA$6</f>
        <v>1</v>
      </c>
      <c r="IA28" s="1">
        <v>0</v>
      </c>
      <c r="IB28" s="1" t="s">
        <v>190</v>
      </c>
      <c r="IC28" s="1" t="e">
        <f ca="1">BY28&amp;"\P"&amp;BZ28&amp;"\P"&amp;CA28</f>
        <v>#N/A</v>
      </c>
      <c r="ID28" s="1" t="e">
        <f ca="1">IF(HU28="","","&lt;/zinsertblock&gt;")</f>
        <v>#N/A</v>
      </c>
      <c r="IE28" s="1" t="e">
        <f ca="1">IF(I28&lt;&gt;"","&lt;zinsertblock&gt;","")</f>
        <v>#N/A</v>
      </c>
      <c r="IF28" s="1" t="e">
        <f ca="1">IF(IE28="","",INDEX(INDIRECT("BD!"&amp;INDEX(BD!$K$5:$CD$5,1,MATCH(G28&amp;"UGO",BD!$K$4:$CE$4,0))),MATCH(CG28,INDIRECT("BD!"&amp;INDEX(BD!$K$5:$CD$5,1,MATCH(G28&amp;"I",BD!$K$4:$CE$4,0))),0)))</f>
        <v>#N/A</v>
      </c>
      <c r="IG28" s="1" t="e">
        <f ca="1">IF(IE28="","",FU28+$AA$5*INDEX(INDIRECT("BD!"&amp;INDEX(BD!$K$5:$CD$5,1,MATCH(G28&amp;"MOVEX",BD!$K$4:$CE$4,0))),MATCH(CG28,INDIRECT("BD!"&amp;INDEX(BD!$K$5:$CD$5,1,MATCH(G28&amp;"I",BD!$K$4:$CE$4,0))),0)))</f>
        <v>#N/A</v>
      </c>
      <c r="IH28" s="1" t="e">
        <f ca="1">IF(IE28="","",FV28-20*$AA$6+$AA$6*INDEX(INDIRECT("BD!"&amp;INDEX(BD!$K$5:$CD$5,1,MATCH(G28&amp;"MOVEY",BD!$K$4:$CE$4,0))),MATCH(CG28,INDIRECT("BD!"&amp;INDEX(BD!$K$5:$CD$5,1,MATCH(G28&amp;"I",BD!$K$4:$CE$4,0))),0)))</f>
        <v>#N/A</v>
      </c>
      <c r="II28" s="1">
        <f>$AA$5</f>
        <v>1</v>
      </c>
      <c r="IJ28" s="1">
        <f>$AA$6</f>
        <v>1</v>
      </c>
      <c r="IK28" s="1">
        <v>0</v>
      </c>
      <c r="IL28" s="1" t="s">
        <v>190</v>
      </c>
      <c r="IM28" s="1" t="e">
        <f ca="1">CQ28&amp;"\P"&amp;CR28&amp;"\P"&amp;CS28</f>
        <v>#N/A</v>
      </c>
      <c r="IN28" s="1" t="e">
        <f ca="1">IF(IE28="","","&lt;/zinsertblock&gt;")</f>
        <v>#N/A</v>
      </c>
      <c r="IO28" s="1" t="s">
        <v>189</v>
      </c>
    </row>
  </sheetData>
  <mergeCells count="66">
    <mergeCell ref="J26:J27"/>
    <mergeCell ref="IE27:IN27"/>
    <mergeCell ref="L26:N26"/>
    <mergeCell ref="O26:O27"/>
    <mergeCell ref="P26:AA26"/>
    <mergeCell ref="AB26:AM26"/>
    <mergeCell ref="AN26:BC26"/>
    <mergeCell ref="HM27:HT27"/>
    <mergeCell ref="BL26:BS26"/>
    <mergeCell ref="BW26:CA26"/>
    <mergeCell ref="EW26:EZ26"/>
    <mergeCell ref="FK26:FO26"/>
    <mergeCell ref="FQ27:FR27"/>
    <mergeCell ref="Q16:T16"/>
    <mergeCell ref="U16:V16"/>
    <mergeCell ref="EA26:EP26"/>
    <mergeCell ref="Z4:AA4"/>
    <mergeCell ref="HU27:ID27"/>
    <mergeCell ref="BD25:CA25"/>
    <mergeCell ref="CT25:FP25"/>
    <mergeCell ref="CB25:CS25"/>
    <mergeCell ref="Q11:T11"/>
    <mergeCell ref="U11:V11"/>
    <mergeCell ref="DX26:DZ26"/>
    <mergeCell ref="DF26:DW26"/>
    <mergeCell ref="U8:V8"/>
    <mergeCell ref="EQ26:EV26"/>
    <mergeCell ref="FA26:FD26"/>
    <mergeCell ref="FE26:FJ26"/>
    <mergeCell ref="D13:G13"/>
    <mergeCell ref="Q13:T13"/>
    <mergeCell ref="U13:V13"/>
    <mergeCell ref="I26:I27"/>
    <mergeCell ref="D14:G14"/>
    <mergeCell ref="Q14:T14"/>
    <mergeCell ref="U14:V14"/>
    <mergeCell ref="D15:G15"/>
    <mergeCell ref="Q15:T15"/>
    <mergeCell ref="U15:V15"/>
    <mergeCell ref="D26:D27"/>
    <mergeCell ref="E26:E27"/>
    <mergeCell ref="F26:F27"/>
    <mergeCell ref="G26:G27"/>
    <mergeCell ref="H26:H27"/>
    <mergeCell ref="K26:K27"/>
    <mergeCell ref="D12:G12"/>
    <mergeCell ref="Q12:T12"/>
    <mergeCell ref="U12:V12"/>
    <mergeCell ref="D4:H4"/>
    <mergeCell ref="Q4:V4"/>
    <mergeCell ref="D5:G5"/>
    <mergeCell ref="Q5:T5"/>
    <mergeCell ref="U5:V5"/>
    <mergeCell ref="D6:G6"/>
    <mergeCell ref="Q6:T6"/>
    <mergeCell ref="U6:V6"/>
    <mergeCell ref="D7:G7"/>
    <mergeCell ref="Q7:T7"/>
    <mergeCell ref="U7:V7"/>
    <mergeCell ref="D8:G8"/>
    <mergeCell ref="Q8:T8"/>
    <mergeCell ref="D9:G9"/>
    <mergeCell ref="Q9:T10"/>
    <mergeCell ref="U9:V10"/>
    <mergeCell ref="D10:G10"/>
    <mergeCell ref="D11:G11"/>
  </mergeCells>
  <phoneticPr fontId="7" type="noConversion"/>
  <conditionalFormatting sqref="Q28">
    <cfRule type="expression" dxfId="56" priority="103">
      <formula>NOT(_xlfn.ISFORMULA(Q28))</formula>
    </cfRule>
  </conditionalFormatting>
  <conditionalFormatting sqref="R28">
    <cfRule type="expression" dxfId="55" priority="102">
      <formula>NOT(_xlfn.ISFORMULA(R28))</formula>
    </cfRule>
  </conditionalFormatting>
  <conditionalFormatting sqref="S28">
    <cfRule type="expression" dxfId="54" priority="101">
      <formula>NOT(_xlfn.ISFORMULA(S28))</formula>
    </cfRule>
  </conditionalFormatting>
  <conditionalFormatting sqref="T28">
    <cfRule type="expression" dxfId="53" priority="100">
      <formula>NOT(_xlfn.ISFORMULA(T28))</formula>
    </cfRule>
  </conditionalFormatting>
  <conditionalFormatting sqref="AT28">
    <cfRule type="expression" dxfId="52" priority="98">
      <formula>NOT(_xlfn.ISFORMULA(AT28))</formula>
    </cfRule>
  </conditionalFormatting>
  <conditionalFormatting sqref="AX28:AY28">
    <cfRule type="expression" dxfId="51" priority="97">
      <formula>NOT(_xlfn.ISFORMULA(AX28))</formula>
    </cfRule>
  </conditionalFormatting>
  <conditionalFormatting sqref="AU28">
    <cfRule type="expression" dxfId="50" priority="95">
      <formula>NOT(_xlfn.ISFORMULA(AU28))</formula>
    </cfRule>
  </conditionalFormatting>
  <conditionalFormatting sqref="GF28:GG28 GC28">
    <cfRule type="cellIs" dxfId="49" priority="90" operator="equal">
      <formula>"INTEGER_0"</formula>
    </cfRule>
  </conditionalFormatting>
  <conditionalFormatting sqref="GF28:GG28 GC28">
    <cfRule type="cellIs" dxfId="48" priority="85" operator="equal">
      <formula>"INTEGER_5"</formula>
    </cfRule>
    <cfRule type="cellIs" dxfId="47" priority="86" operator="equal">
      <formula>"INTEGER_4"</formula>
    </cfRule>
    <cfRule type="cellIs" dxfId="46" priority="87" operator="equal">
      <formula>"INTEGER_3"</formula>
    </cfRule>
    <cfRule type="cellIs" dxfId="45" priority="88" operator="equal">
      <formula>"INTEGER_2"</formula>
    </cfRule>
    <cfRule type="cellIs" dxfId="44" priority="89" operator="equal">
      <formula>"INTEGER_1"</formula>
    </cfRule>
  </conditionalFormatting>
  <conditionalFormatting sqref="GK28">
    <cfRule type="cellIs" dxfId="43" priority="66" operator="equal">
      <formula>"INTEGER_0"</formula>
    </cfRule>
  </conditionalFormatting>
  <conditionalFormatting sqref="GK28">
    <cfRule type="cellIs" dxfId="42" priority="61" operator="equal">
      <formula>"INTEGER_5"</formula>
    </cfRule>
    <cfRule type="cellIs" dxfId="41" priority="62" operator="equal">
      <formula>"INTEGER_4"</formula>
    </cfRule>
    <cfRule type="cellIs" dxfId="40" priority="63" operator="equal">
      <formula>"INTEGER_3"</formula>
    </cfRule>
    <cfRule type="cellIs" dxfId="39" priority="64" operator="equal">
      <formula>"INTEGER_2"</formula>
    </cfRule>
    <cfRule type="cellIs" dxfId="38" priority="65" operator="equal">
      <formula>"INTEGER_1"</formula>
    </cfRule>
  </conditionalFormatting>
  <conditionalFormatting sqref="GN28">
    <cfRule type="cellIs" dxfId="37" priority="48" operator="equal">
      <formula>"INTEGER_0"</formula>
    </cfRule>
  </conditionalFormatting>
  <conditionalFormatting sqref="GN28">
    <cfRule type="cellIs" dxfId="36" priority="43" operator="equal">
      <formula>"INTEGER_5"</formula>
    </cfRule>
    <cfRule type="cellIs" dxfId="35" priority="44" operator="equal">
      <formula>"INTEGER_4"</formula>
    </cfRule>
    <cfRule type="cellIs" dxfId="34" priority="45" operator="equal">
      <formula>"INTEGER_3"</formula>
    </cfRule>
    <cfRule type="cellIs" dxfId="33" priority="46" operator="equal">
      <formula>"INTEGER_2"</formula>
    </cfRule>
    <cfRule type="cellIs" dxfId="32" priority="47" operator="equal">
      <formula>"INTEGER_1"</formula>
    </cfRule>
  </conditionalFormatting>
  <conditionalFormatting sqref="GP28">
    <cfRule type="cellIs" dxfId="31" priority="42" operator="equal">
      <formula>"INTEGER_0"</formula>
    </cfRule>
  </conditionalFormatting>
  <conditionalFormatting sqref="GP28">
    <cfRule type="cellIs" dxfId="30" priority="37" operator="equal">
      <formula>"INTEGER_5"</formula>
    </cfRule>
    <cfRule type="cellIs" dxfId="29" priority="38" operator="equal">
      <formula>"INTEGER_4"</formula>
    </cfRule>
    <cfRule type="cellIs" dxfId="28" priority="39" operator="equal">
      <formula>"INTEGER_3"</formula>
    </cfRule>
    <cfRule type="cellIs" dxfId="27" priority="40" operator="equal">
      <formula>"INTEGER_2"</formula>
    </cfRule>
    <cfRule type="cellIs" dxfId="26" priority="41" operator="equal">
      <formula>"INTEGER_1"</formula>
    </cfRule>
  </conditionalFormatting>
  <conditionalFormatting sqref="GQ28">
    <cfRule type="cellIs" dxfId="25" priority="36" operator="equal">
      <formula>"INTEGER_0"</formula>
    </cfRule>
  </conditionalFormatting>
  <conditionalFormatting sqref="GQ28">
    <cfRule type="cellIs" dxfId="24" priority="31" operator="equal">
      <formula>"INTEGER_5"</formula>
    </cfRule>
    <cfRule type="cellIs" dxfId="23" priority="32" operator="equal">
      <formula>"INTEGER_4"</formula>
    </cfRule>
    <cfRule type="cellIs" dxfId="22" priority="33" operator="equal">
      <formula>"INTEGER_3"</formula>
    </cfRule>
    <cfRule type="cellIs" dxfId="21" priority="34" operator="equal">
      <formula>"INTEGER_2"</formula>
    </cfRule>
    <cfRule type="cellIs" dxfId="20" priority="35" operator="equal">
      <formula>"INTEGER_1"</formula>
    </cfRule>
  </conditionalFormatting>
  <conditionalFormatting sqref="GR28">
    <cfRule type="cellIs" dxfId="19" priority="24" operator="equal">
      <formula>"INTEGER_0"</formula>
    </cfRule>
  </conditionalFormatting>
  <conditionalFormatting sqref="GR28">
    <cfRule type="cellIs" dxfId="18" priority="19" operator="equal">
      <formula>"INTEGER_5"</formula>
    </cfRule>
    <cfRule type="cellIs" dxfId="17" priority="20" operator="equal">
      <formula>"INTEGER_4"</formula>
    </cfRule>
    <cfRule type="cellIs" dxfId="16" priority="21" operator="equal">
      <formula>"INTEGER_3"</formula>
    </cfRule>
    <cfRule type="cellIs" dxfId="15" priority="22" operator="equal">
      <formula>"INTEGER_2"</formula>
    </cfRule>
    <cfRule type="cellIs" dxfId="14" priority="23" operator="equal">
      <formula>"INTEGER_1"</formula>
    </cfRule>
  </conditionalFormatting>
  <conditionalFormatting sqref="GT28">
    <cfRule type="cellIs" dxfId="13" priority="12" operator="equal">
      <formula>"INTEGER_0"</formula>
    </cfRule>
  </conditionalFormatting>
  <conditionalFormatting sqref="GT28">
    <cfRule type="cellIs" dxfId="12" priority="7" operator="equal">
      <formula>"INTEGER_5"</formula>
    </cfRule>
    <cfRule type="cellIs" dxfId="11" priority="8" operator="equal">
      <formula>"INTEGER_4"</formula>
    </cfRule>
    <cfRule type="cellIs" dxfId="10" priority="9" operator="equal">
      <formula>"INTEGER_3"</formula>
    </cfRule>
    <cfRule type="cellIs" dxfId="9" priority="10" operator="equal">
      <formula>"INTEGER_2"</formula>
    </cfRule>
    <cfRule type="cellIs" dxfId="8" priority="11" operator="equal">
      <formula>"INTEGER_1"</formula>
    </cfRule>
  </conditionalFormatting>
  <conditionalFormatting sqref="GU28:HD28 HF28 HH28:HK28">
    <cfRule type="cellIs" dxfId="7" priority="6" operator="equal">
      <formula>"INTEGER_0"</formula>
    </cfRule>
  </conditionalFormatting>
  <conditionalFormatting sqref="GU28:HD28 HF28 HH28:HK28">
    <cfRule type="cellIs" dxfId="6" priority="1" operator="equal">
      <formula>"INTEGER_5"</formula>
    </cfRule>
    <cfRule type="cellIs" dxfId="5" priority="2" operator="equal">
      <formula>"INTEGER_4"</formula>
    </cfRule>
    <cfRule type="cellIs" dxfId="4" priority="3" operator="equal">
      <formula>"INTEGER_3"</formula>
    </cfRule>
    <cfRule type="cellIs" dxfId="3" priority="4" operator="equal">
      <formula>"INTEGER_2"</formula>
    </cfRule>
    <cfRule type="cellIs" dxfId="2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80">
        <f t="shared" si="0"/>
        <v>17</v>
      </c>
    </row>
    <row r="3" spans="1:19" ht="90" x14ac:dyDescent="0.25">
      <c r="C3" s="65"/>
      <c r="D3" s="251" t="s">
        <v>331</v>
      </c>
      <c r="E3" s="251"/>
      <c r="F3" s="251"/>
      <c r="G3" s="251" t="s">
        <v>332</v>
      </c>
      <c r="H3" s="251"/>
      <c r="I3" s="251"/>
      <c r="J3" s="75" t="s">
        <v>335</v>
      </c>
      <c r="K3" s="75" t="s">
        <v>333</v>
      </c>
      <c r="L3" s="251" t="s">
        <v>334</v>
      </c>
      <c r="M3" s="251"/>
      <c r="N3" s="251"/>
      <c r="O3" s="301" t="s">
        <v>342</v>
      </c>
      <c r="P3" s="301"/>
      <c r="Q3" s="301"/>
      <c r="R3" s="81" t="s">
        <v>343</v>
      </c>
    </row>
    <row r="4" spans="1:19" x14ac:dyDescent="0.25">
      <c r="C4" s="65"/>
      <c r="D4" s="51" t="s">
        <v>164</v>
      </c>
      <c r="E4" s="52" t="s">
        <v>162</v>
      </c>
      <c r="F4" s="53" t="s">
        <v>163</v>
      </c>
      <c r="G4" s="51" t="s">
        <v>164</v>
      </c>
      <c r="H4" s="52" t="s">
        <v>162</v>
      </c>
      <c r="I4" s="53" t="s">
        <v>163</v>
      </c>
      <c r="J4" s="52" t="s">
        <v>162</v>
      </c>
      <c r="K4" s="52" t="s">
        <v>162</v>
      </c>
      <c r="L4" s="51" t="s">
        <v>164</v>
      </c>
      <c r="M4" s="52" t="s">
        <v>162</v>
      </c>
      <c r="N4" s="53" t="s">
        <v>163</v>
      </c>
      <c r="O4" s="76" t="s">
        <v>164</v>
      </c>
      <c r="P4" s="77" t="s">
        <v>162</v>
      </c>
      <c r="Q4" s="78" t="s">
        <v>163</v>
      </c>
      <c r="R4" s="81"/>
    </row>
    <row r="5" spans="1:19" ht="45" x14ac:dyDescent="0.25">
      <c r="C5" s="74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76"/>
      <c r="P5" s="77"/>
      <c r="Q5" s="78"/>
      <c r="R5" s="81"/>
    </row>
    <row r="6" spans="1:19" x14ac:dyDescent="0.25">
      <c r="C6" s="62" t="s">
        <v>142</v>
      </c>
      <c r="D6" s="54" t="s">
        <v>338</v>
      </c>
      <c r="E6" s="52"/>
      <c r="F6" s="53"/>
      <c r="G6" s="54" t="s">
        <v>339</v>
      </c>
      <c r="H6" s="52"/>
      <c r="I6" s="53"/>
      <c r="J6" s="52" t="s">
        <v>336</v>
      </c>
      <c r="K6" s="52" t="s">
        <v>337</v>
      </c>
      <c r="L6" s="54" t="s">
        <v>340</v>
      </c>
      <c r="M6" s="52"/>
      <c r="N6" s="53"/>
      <c r="O6" s="54" t="s">
        <v>344</v>
      </c>
      <c r="P6" s="52"/>
      <c r="Q6" s="53"/>
      <c r="R6" s="81">
        <v>1</v>
      </c>
      <c r="S6" t="s">
        <v>143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20"/>
  <sheetViews>
    <sheetView topLeftCell="A7" workbookViewId="0">
      <selection activeCell="L33" sqref="L33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232" t="s">
        <v>36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44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2:34" x14ac:dyDescent="0.25">
      <c r="B13" s="226">
        <v>35</v>
      </c>
      <c r="C13" s="226">
        <v>147</v>
      </c>
      <c r="D13" s="227">
        <v>0.52400000000000002</v>
      </c>
      <c r="E13" s="226">
        <v>9.8000000000000004E-2</v>
      </c>
      <c r="F13" s="227">
        <f t="shared" ref="F13:F20" si="5">SQRT(SUMSQ(D13,E13))</f>
        <v>0.53308535901860976</v>
      </c>
      <c r="G13" s="226">
        <v>163</v>
      </c>
      <c r="H13" s="226">
        <f>D13</f>
        <v>0.52400000000000002</v>
      </c>
      <c r="I13" s="226">
        <v>9.8000000000000004E-2</v>
      </c>
      <c r="J13" s="227">
        <f t="shared" ref="J13:J20" si="6">SQRT(SUMSQ(H13,I13))</f>
        <v>0.53308535901860976</v>
      </c>
      <c r="K13" s="226">
        <v>137</v>
      </c>
      <c r="L13" s="227">
        <f>D13</f>
        <v>0.52400000000000002</v>
      </c>
      <c r="M13" s="226">
        <v>7.9000000000000001E-2</v>
      </c>
      <c r="N13" s="227">
        <f>SQRT(SUMSQ(L13,M13))</f>
        <v>0.52992169232821562</v>
      </c>
      <c r="O13" s="226">
        <v>158</v>
      </c>
      <c r="P13" s="227">
        <f>D13</f>
        <v>0.52400000000000002</v>
      </c>
      <c r="Q13" s="226">
        <v>7.9000000000000001E-2</v>
      </c>
      <c r="R13" s="227">
        <f>SQRT(SUMSQ(P13,Q13))</f>
        <v>0.52992169232821562</v>
      </c>
    </row>
    <row r="14" spans="2:34" x14ac:dyDescent="0.25">
      <c r="B14" s="226">
        <v>50</v>
      </c>
      <c r="C14" s="226">
        <v>179</v>
      </c>
      <c r="D14" s="227">
        <f>D$13*$B$13/$B14</f>
        <v>0.36680000000000001</v>
      </c>
      <c r="E14" s="226">
        <v>9.5000000000000001E-2</v>
      </c>
      <c r="F14" s="227">
        <f t="shared" si="5"/>
        <v>0.37890267879760364</v>
      </c>
      <c r="G14" s="226">
        <v>194</v>
      </c>
      <c r="H14" s="227">
        <f>D14</f>
        <v>0.36680000000000001</v>
      </c>
      <c r="I14" s="226">
        <v>9.5000000000000001E-2</v>
      </c>
      <c r="J14" s="227">
        <f t="shared" si="6"/>
        <v>0.37890267879760364</v>
      </c>
      <c r="K14" s="226">
        <v>167</v>
      </c>
      <c r="L14" s="227">
        <f t="shared" ref="L14:L20" si="7">D14</f>
        <v>0.36680000000000001</v>
      </c>
      <c r="M14" s="226">
        <v>7.8E-2</v>
      </c>
      <c r="N14" s="227">
        <f t="shared" ref="N14:N20" si="8">SQRT(SUMSQ(L14,M14))</f>
        <v>0.37500165332968871</v>
      </c>
      <c r="O14" s="226">
        <v>187</v>
      </c>
      <c r="P14" s="227">
        <f t="shared" ref="P14:P20" si="9">D14</f>
        <v>0.36680000000000001</v>
      </c>
      <c r="Q14" s="226">
        <v>7.8E-2</v>
      </c>
      <c r="R14" s="227">
        <f t="shared" ref="R14:R20" si="10">SQRT(SUMSQ(P14,Q14))</f>
        <v>0.37500165332968871</v>
      </c>
    </row>
    <row r="15" spans="2:34" x14ac:dyDescent="0.25">
      <c r="B15" s="226">
        <v>70</v>
      </c>
      <c r="C15" s="226">
        <v>226</v>
      </c>
      <c r="D15" s="227">
        <f t="shared" ref="D15:D20" si="11">D$13*$B$13/$B15</f>
        <v>0.26200000000000001</v>
      </c>
      <c r="E15" s="226">
        <v>0.09</v>
      </c>
      <c r="F15" s="227">
        <f t="shared" si="5"/>
        <v>0.27702707448911923</v>
      </c>
      <c r="G15" s="226">
        <v>237</v>
      </c>
      <c r="H15" s="227">
        <f t="shared" ref="H15:H20" si="12">D15</f>
        <v>0.26200000000000001</v>
      </c>
      <c r="I15" s="226">
        <v>0.09</v>
      </c>
      <c r="J15" s="227">
        <f t="shared" si="6"/>
        <v>0.27702707448911923</v>
      </c>
      <c r="K15" s="226">
        <v>211</v>
      </c>
      <c r="L15" s="227">
        <f t="shared" si="7"/>
        <v>0.26200000000000001</v>
      </c>
      <c r="M15" s="226">
        <v>7.4999999999999997E-2</v>
      </c>
      <c r="N15" s="227">
        <f t="shared" si="8"/>
        <v>0.27252339349127447</v>
      </c>
      <c r="O15" s="226">
        <v>231</v>
      </c>
      <c r="P15" s="227">
        <f t="shared" si="9"/>
        <v>0.26200000000000001</v>
      </c>
      <c r="Q15" s="226">
        <v>7.4999999999999997E-2</v>
      </c>
      <c r="R15" s="227">
        <f t="shared" si="10"/>
        <v>0.27252339349127447</v>
      </c>
    </row>
    <row r="16" spans="2:34" x14ac:dyDescent="0.25">
      <c r="B16" s="226">
        <v>95</v>
      </c>
      <c r="C16" s="226">
        <v>280</v>
      </c>
      <c r="D16" s="227">
        <f t="shared" si="11"/>
        <v>0.19305263157894736</v>
      </c>
      <c r="E16" s="226">
        <v>8.7999999999999995E-2</v>
      </c>
      <c r="F16" s="227">
        <f t="shared" si="5"/>
        <v>0.21216342417946782</v>
      </c>
      <c r="G16" s="226">
        <v>285</v>
      </c>
      <c r="H16" s="227">
        <f t="shared" si="12"/>
        <v>0.19305263157894736</v>
      </c>
      <c r="I16" s="226">
        <v>8.7999999999999995E-2</v>
      </c>
      <c r="J16" s="227">
        <f t="shared" si="6"/>
        <v>0.21216342417946782</v>
      </c>
      <c r="K16" s="226">
        <v>261</v>
      </c>
      <c r="L16" s="227">
        <f t="shared" si="7"/>
        <v>0.19305263157894736</v>
      </c>
      <c r="M16" s="226">
        <v>7.4999999999999997E-2</v>
      </c>
      <c r="N16" s="227">
        <f t="shared" si="8"/>
        <v>0.2071094361914898</v>
      </c>
      <c r="O16" s="226">
        <v>279</v>
      </c>
      <c r="P16" s="227">
        <f t="shared" si="9"/>
        <v>0.19305263157894736</v>
      </c>
      <c r="Q16" s="226">
        <v>7.4999999999999997E-2</v>
      </c>
      <c r="R16" s="227">
        <f t="shared" si="10"/>
        <v>0.2071094361914898</v>
      </c>
    </row>
    <row r="17" spans="2:18" x14ac:dyDescent="0.25">
      <c r="B17" s="226">
        <v>120</v>
      </c>
      <c r="C17" s="226">
        <v>326</v>
      </c>
      <c r="D17" s="227">
        <f t="shared" si="11"/>
        <v>0.15283333333333332</v>
      </c>
      <c r="E17" s="226">
        <v>8.5000000000000006E-2</v>
      </c>
      <c r="F17" s="227">
        <f t="shared" si="5"/>
        <v>0.17488003824844553</v>
      </c>
      <c r="G17" s="226">
        <v>324</v>
      </c>
      <c r="H17" s="227">
        <f t="shared" si="12"/>
        <v>0.15283333333333332</v>
      </c>
      <c r="I17" s="226">
        <v>8.5000000000000006E-2</v>
      </c>
      <c r="J17" s="227">
        <f t="shared" si="6"/>
        <v>0.17488003824844553</v>
      </c>
      <c r="K17" s="226">
        <v>302</v>
      </c>
      <c r="L17" s="227">
        <f t="shared" si="7"/>
        <v>0.15283333333333332</v>
      </c>
      <c r="M17" s="226">
        <v>7.2999999999999995E-2</v>
      </c>
      <c r="N17" s="227">
        <f t="shared" si="8"/>
        <v>0.1693724528303755</v>
      </c>
      <c r="O17" s="226">
        <v>317</v>
      </c>
      <c r="P17" s="227">
        <f t="shared" si="9"/>
        <v>0.15283333333333332</v>
      </c>
      <c r="Q17" s="226">
        <v>7.2999999999999995E-2</v>
      </c>
      <c r="R17" s="227">
        <f t="shared" si="10"/>
        <v>0.1693724528303755</v>
      </c>
    </row>
    <row r="18" spans="2:18" x14ac:dyDescent="0.25">
      <c r="B18" s="226">
        <v>150</v>
      </c>
      <c r="C18" s="226">
        <v>373</v>
      </c>
      <c r="D18" s="227">
        <f t="shared" si="11"/>
        <v>0.12226666666666666</v>
      </c>
      <c r="E18" s="226">
        <v>8.4000000000000005E-2</v>
      </c>
      <c r="F18" s="227">
        <f t="shared" si="5"/>
        <v>0.14834128817621134</v>
      </c>
      <c r="G18" s="226">
        <v>364</v>
      </c>
      <c r="H18" s="227">
        <f t="shared" si="12"/>
        <v>0.12226666666666666</v>
      </c>
      <c r="I18" s="226">
        <v>8.4000000000000005E-2</v>
      </c>
      <c r="J18" s="227">
        <f t="shared" si="6"/>
        <v>0.14834128817621134</v>
      </c>
      <c r="K18" s="226">
        <v>346</v>
      </c>
      <c r="L18" s="227">
        <f t="shared" si="7"/>
        <v>0.12226666666666666</v>
      </c>
      <c r="M18" s="226">
        <v>7.2999999999999995E-2</v>
      </c>
      <c r="N18" s="227">
        <f t="shared" si="8"/>
        <v>0.14240132646073833</v>
      </c>
      <c r="O18" s="226">
        <v>358</v>
      </c>
      <c r="P18" s="227">
        <f t="shared" si="9"/>
        <v>0.12226666666666666</v>
      </c>
      <c r="Q18" s="226">
        <v>7.2999999999999995E-2</v>
      </c>
      <c r="R18" s="227">
        <f t="shared" si="10"/>
        <v>0.14240132646073833</v>
      </c>
    </row>
    <row r="19" spans="2:18" x14ac:dyDescent="0.25">
      <c r="B19" s="226">
        <v>185</v>
      </c>
      <c r="C19" s="226">
        <v>431</v>
      </c>
      <c r="D19" s="227">
        <f t="shared" si="11"/>
        <v>9.9135135135135138E-2</v>
      </c>
      <c r="E19" s="226">
        <v>8.4000000000000005E-2</v>
      </c>
      <c r="F19" s="227">
        <f t="shared" si="5"/>
        <v>0.12993758123907612</v>
      </c>
      <c r="G19" s="226">
        <v>412</v>
      </c>
      <c r="H19" s="227">
        <f t="shared" si="12"/>
        <v>9.9135135135135138E-2</v>
      </c>
      <c r="I19" s="226">
        <v>8.4000000000000005E-2</v>
      </c>
      <c r="J19" s="227">
        <f t="shared" si="6"/>
        <v>0.12993758123907612</v>
      </c>
      <c r="K19" s="226">
        <v>397</v>
      </c>
      <c r="L19" s="227">
        <f t="shared" si="7"/>
        <v>9.9135135135135138E-2</v>
      </c>
      <c r="M19" s="226">
        <v>7.2999999999999995E-2</v>
      </c>
      <c r="N19" s="227">
        <f t="shared" si="8"/>
        <v>0.12311285480509947</v>
      </c>
      <c r="O19" s="226">
        <v>405</v>
      </c>
      <c r="P19" s="227">
        <f t="shared" si="9"/>
        <v>9.9135135135135138E-2</v>
      </c>
      <c r="Q19" s="226">
        <v>7.2999999999999995E-2</v>
      </c>
      <c r="R19" s="227">
        <f t="shared" si="10"/>
        <v>0.12311285480509947</v>
      </c>
    </row>
    <row r="20" spans="2:18" x14ac:dyDescent="0.25">
      <c r="B20" s="226">
        <v>240</v>
      </c>
      <c r="C20" s="226">
        <v>512</v>
      </c>
      <c r="D20" s="227">
        <f t="shared" si="11"/>
        <v>7.6416666666666661E-2</v>
      </c>
      <c r="E20" s="226">
        <v>8.2000000000000003E-2</v>
      </c>
      <c r="F20" s="227">
        <f t="shared" si="5"/>
        <v>0.11208705074380557</v>
      </c>
      <c r="G20" s="226">
        <v>477</v>
      </c>
      <c r="H20" s="227">
        <f t="shared" si="12"/>
        <v>7.6416666666666661E-2</v>
      </c>
      <c r="I20" s="226">
        <v>8.2000000000000003E-2</v>
      </c>
      <c r="J20" s="227">
        <f t="shared" si="6"/>
        <v>0.11208705074380557</v>
      </c>
      <c r="K20" s="226">
        <v>472</v>
      </c>
      <c r="L20" s="227">
        <f t="shared" si="7"/>
        <v>7.6416666666666661E-2</v>
      </c>
      <c r="M20" s="226">
        <v>7.1999999999999995E-2</v>
      </c>
      <c r="N20" s="227">
        <f t="shared" si="8"/>
        <v>0.10499288997091394</v>
      </c>
      <c r="O20" s="226">
        <v>471</v>
      </c>
      <c r="P20" s="227">
        <f t="shared" si="9"/>
        <v>7.6416666666666661E-2</v>
      </c>
      <c r="Q20" s="226">
        <v>7.1999999999999995E-2</v>
      </c>
      <c r="R20" s="227">
        <f t="shared" si="10"/>
        <v>0.10499288997091394</v>
      </c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245" t="s">
        <v>12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</row>
    <row r="2" spans="1:18" ht="35.25" customHeight="1" thickBot="1" x14ac:dyDescent="0.3">
      <c r="A2" s="24"/>
      <c r="B2" s="3" t="s">
        <v>13</v>
      </c>
      <c r="C2" s="246" t="s">
        <v>14</v>
      </c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7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51"/>
  <sheetViews>
    <sheetView topLeftCell="A19" workbookViewId="0">
      <selection activeCell="C45" sqref="C45"/>
    </sheetView>
  </sheetViews>
  <sheetFormatPr defaultRowHeight="15" x14ac:dyDescent="0.25"/>
  <cols>
    <col min="3" max="3" width="22.42578125" bestFit="1" customWidth="1"/>
    <col min="4" max="8" width="10.7109375" customWidth="1"/>
  </cols>
  <sheetData>
    <row r="1" spans="3:8" ht="15.75" thickBot="1" x14ac:dyDescent="0.3"/>
    <row r="2" spans="3:8" ht="15.75" thickBot="1" x14ac:dyDescent="0.3">
      <c r="C2" s="248" t="s">
        <v>422</v>
      </c>
      <c r="D2" s="249"/>
      <c r="E2" s="249"/>
      <c r="F2" s="249"/>
      <c r="G2" s="249"/>
      <c r="H2" s="250"/>
    </row>
    <row r="3" spans="3:8" x14ac:dyDescent="0.25">
      <c r="C3" s="116" t="s">
        <v>423</v>
      </c>
      <c r="D3" s="116" t="s">
        <v>424</v>
      </c>
      <c r="E3" s="116" t="s">
        <v>425</v>
      </c>
      <c r="F3" s="116" t="s">
        <v>426</v>
      </c>
      <c r="G3" s="116" t="s">
        <v>427</v>
      </c>
      <c r="H3" s="116" t="s">
        <v>428</v>
      </c>
    </row>
    <row r="4" spans="3:8" x14ac:dyDescent="0.25">
      <c r="C4" s="163" t="s">
        <v>429</v>
      </c>
      <c r="D4" s="164">
        <v>0</v>
      </c>
      <c r="E4" s="164">
        <v>0</v>
      </c>
      <c r="F4" s="164">
        <v>1</v>
      </c>
      <c r="G4" s="164">
        <v>1</v>
      </c>
      <c r="H4" s="164">
        <v>0</v>
      </c>
    </row>
    <row r="5" spans="3:8" x14ac:dyDescent="0.25">
      <c r="C5" s="163" t="s">
        <v>433</v>
      </c>
      <c r="D5" s="164">
        <v>0</v>
      </c>
      <c r="E5" s="164">
        <v>35</v>
      </c>
      <c r="F5" s="164">
        <v>1</v>
      </c>
      <c r="G5" s="164">
        <v>1</v>
      </c>
      <c r="H5" s="164">
        <v>0</v>
      </c>
    </row>
    <row r="6" spans="3:8" x14ac:dyDescent="0.25">
      <c r="C6" s="163" t="s">
        <v>603</v>
      </c>
      <c r="D6" s="164">
        <v>0</v>
      </c>
      <c r="E6" s="164">
        <v>0</v>
      </c>
      <c r="F6" s="164">
        <v>1</v>
      </c>
      <c r="G6" s="164">
        <v>1</v>
      </c>
      <c r="H6" s="164">
        <v>0</v>
      </c>
    </row>
    <row r="7" spans="3:8" x14ac:dyDescent="0.25">
      <c r="C7" s="163" t="s">
        <v>604</v>
      </c>
      <c r="D7" s="164">
        <v>0</v>
      </c>
      <c r="E7" s="164">
        <v>35</v>
      </c>
      <c r="F7" s="164">
        <v>1</v>
      </c>
      <c r="G7" s="164">
        <v>1</v>
      </c>
      <c r="H7" s="164">
        <v>0</v>
      </c>
    </row>
    <row r="8" spans="3:8" x14ac:dyDescent="0.25">
      <c r="C8" s="163" t="s">
        <v>565</v>
      </c>
      <c r="D8" s="164">
        <v>0</v>
      </c>
      <c r="E8" s="164">
        <v>0</v>
      </c>
      <c r="F8" s="164">
        <v>1</v>
      </c>
      <c r="G8" s="164">
        <v>1</v>
      </c>
      <c r="H8" s="164">
        <v>0</v>
      </c>
    </row>
    <row r="9" spans="3:8" x14ac:dyDescent="0.25">
      <c r="C9" s="163" t="s">
        <v>566</v>
      </c>
      <c r="D9" s="164">
        <v>0</v>
      </c>
      <c r="E9" s="164">
        <v>35</v>
      </c>
      <c r="F9" s="164">
        <v>1</v>
      </c>
      <c r="G9" s="164">
        <v>1</v>
      </c>
      <c r="H9" s="164">
        <v>0</v>
      </c>
    </row>
    <row r="10" spans="3:8" x14ac:dyDescent="0.25">
      <c r="C10" s="163" t="s">
        <v>605</v>
      </c>
      <c r="D10" s="164">
        <v>0</v>
      </c>
      <c r="E10" s="164">
        <v>0</v>
      </c>
      <c r="F10" s="164">
        <v>1</v>
      </c>
      <c r="G10" s="164">
        <v>1</v>
      </c>
      <c r="H10" s="164">
        <v>0</v>
      </c>
    </row>
    <row r="11" spans="3:8" x14ac:dyDescent="0.25">
      <c r="C11" s="163" t="s">
        <v>606</v>
      </c>
      <c r="D11" s="164">
        <v>0</v>
      </c>
      <c r="E11" s="164">
        <v>35</v>
      </c>
      <c r="F11" s="164">
        <v>1</v>
      </c>
      <c r="G11" s="164">
        <v>1</v>
      </c>
      <c r="H11" s="164">
        <v>0</v>
      </c>
    </row>
    <row r="12" spans="3:8" x14ac:dyDescent="0.25">
      <c r="C12" s="163" t="s">
        <v>569</v>
      </c>
      <c r="D12" s="164">
        <v>0</v>
      </c>
      <c r="E12" s="164">
        <v>0</v>
      </c>
      <c r="F12" s="164">
        <v>1</v>
      </c>
      <c r="G12" s="164">
        <v>1</v>
      </c>
      <c r="H12" s="164">
        <v>0</v>
      </c>
    </row>
    <row r="13" spans="3:8" x14ac:dyDescent="0.25">
      <c r="C13" s="163" t="s">
        <v>570</v>
      </c>
      <c r="D13" s="164">
        <v>0</v>
      </c>
      <c r="E13" s="164">
        <v>35</v>
      </c>
      <c r="F13" s="164">
        <v>1</v>
      </c>
      <c r="G13" s="164">
        <v>1</v>
      </c>
      <c r="H13" s="164">
        <v>0</v>
      </c>
    </row>
    <row r="14" spans="3:8" x14ac:dyDescent="0.25">
      <c r="C14" s="163" t="s">
        <v>607</v>
      </c>
      <c r="D14" s="164">
        <v>0</v>
      </c>
      <c r="E14" s="164">
        <v>0</v>
      </c>
      <c r="F14" s="164">
        <v>1</v>
      </c>
      <c r="G14" s="164">
        <v>1</v>
      </c>
      <c r="H14" s="164">
        <v>0</v>
      </c>
    </row>
    <row r="15" spans="3:8" x14ac:dyDescent="0.25">
      <c r="C15" s="163" t="s">
        <v>608</v>
      </c>
      <c r="D15" s="164">
        <v>0</v>
      </c>
      <c r="E15" s="164">
        <v>35</v>
      </c>
      <c r="F15" s="164">
        <v>1</v>
      </c>
      <c r="G15" s="164">
        <v>1</v>
      </c>
      <c r="H15" s="164">
        <v>0</v>
      </c>
    </row>
    <row r="16" spans="3:8" x14ac:dyDescent="0.25">
      <c r="C16" s="163" t="s">
        <v>609</v>
      </c>
      <c r="D16" s="164">
        <v>0</v>
      </c>
      <c r="E16" s="164">
        <v>0</v>
      </c>
      <c r="F16" s="164">
        <v>1</v>
      </c>
      <c r="G16" s="164">
        <v>1</v>
      </c>
      <c r="H16" s="164">
        <v>0</v>
      </c>
    </row>
    <row r="17" spans="3:8" x14ac:dyDescent="0.25">
      <c r="C17" s="163" t="s">
        <v>610</v>
      </c>
      <c r="D17" s="164">
        <v>0</v>
      </c>
      <c r="E17" s="164">
        <v>35</v>
      </c>
      <c r="F17" s="164">
        <v>1</v>
      </c>
      <c r="G17" s="164">
        <v>1</v>
      </c>
      <c r="H17" s="164">
        <v>0</v>
      </c>
    </row>
    <row r="18" spans="3:8" x14ac:dyDescent="0.25">
      <c r="C18" s="163" t="s">
        <v>567</v>
      </c>
      <c r="D18" s="164">
        <v>0</v>
      </c>
      <c r="E18" s="164">
        <v>0</v>
      </c>
      <c r="F18" s="164">
        <v>1</v>
      </c>
      <c r="G18" s="164">
        <v>1</v>
      </c>
      <c r="H18" s="164">
        <v>0</v>
      </c>
    </row>
    <row r="19" spans="3:8" x14ac:dyDescent="0.25">
      <c r="C19" s="163" t="s">
        <v>568</v>
      </c>
      <c r="D19" s="164">
        <v>0</v>
      </c>
      <c r="E19" s="164">
        <v>35</v>
      </c>
      <c r="F19" s="164">
        <v>1</v>
      </c>
      <c r="G19" s="164">
        <v>1</v>
      </c>
      <c r="H19" s="164">
        <v>0</v>
      </c>
    </row>
    <row r="20" spans="3:8" x14ac:dyDescent="0.25">
      <c r="C20" s="163" t="s">
        <v>575</v>
      </c>
      <c r="D20" s="164">
        <v>0</v>
      </c>
      <c r="E20" s="164">
        <v>0</v>
      </c>
      <c r="F20" s="164">
        <v>1</v>
      </c>
      <c r="G20" s="164">
        <v>1</v>
      </c>
      <c r="H20" s="164">
        <v>0</v>
      </c>
    </row>
    <row r="21" spans="3:8" x14ac:dyDescent="0.25">
      <c r="C21" s="163" t="s">
        <v>576</v>
      </c>
      <c r="D21" s="164">
        <v>0</v>
      </c>
      <c r="E21" s="164">
        <v>35</v>
      </c>
      <c r="F21" s="164">
        <v>1</v>
      </c>
      <c r="G21" s="164">
        <v>1</v>
      </c>
      <c r="H21" s="164">
        <v>0</v>
      </c>
    </row>
    <row r="22" spans="3:8" x14ac:dyDescent="0.25">
      <c r="C22" s="163" t="s">
        <v>597</v>
      </c>
      <c r="D22" s="164">
        <v>0</v>
      </c>
      <c r="E22" s="164">
        <v>0</v>
      </c>
      <c r="F22" s="164">
        <v>1</v>
      </c>
      <c r="G22" s="164">
        <v>1</v>
      </c>
      <c r="H22" s="164">
        <v>0</v>
      </c>
    </row>
    <row r="23" spans="3:8" x14ac:dyDescent="0.25">
      <c r="C23" s="163" t="s">
        <v>598</v>
      </c>
      <c r="D23" s="164">
        <v>0</v>
      </c>
      <c r="E23" s="164">
        <v>35</v>
      </c>
      <c r="F23" s="164">
        <v>1</v>
      </c>
      <c r="G23" s="164">
        <v>1</v>
      </c>
      <c r="H23" s="164">
        <v>0</v>
      </c>
    </row>
    <row r="24" spans="3:8" x14ac:dyDescent="0.25">
      <c r="C24" s="163" t="s">
        <v>430</v>
      </c>
      <c r="D24" s="164">
        <v>0</v>
      </c>
      <c r="E24" s="164">
        <v>0</v>
      </c>
      <c r="F24" s="164">
        <v>0.67</v>
      </c>
      <c r="G24" s="164">
        <v>0.67</v>
      </c>
      <c r="H24" s="164">
        <v>0</v>
      </c>
    </row>
    <row r="25" spans="3:8" x14ac:dyDescent="0.25">
      <c r="C25" s="163" t="s">
        <v>434</v>
      </c>
      <c r="D25" s="164">
        <v>0</v>
      </c>
      <c r="E25" s="164">
        <v>35</v>
      </c>
      <c r="F25" s="164">
        <v>1</v>
      </c>
      <c r="G25" s="164">
        <v>1</v>
      </c>
      <c r="H25" s="164">
        <v>0</v>
      </c>
    </row>
    <row r="26" spans="3:8" x14ac:dyDescent="0.25">
      <c r="C26" s="163" t="s">
        <v>435</v>
      </c>
      <c r="D26" s="164">
        <v>0</v>
      </c>
      <c r="E26" s="164">
        <v>35</v>
      </c>
      <c r="F26" s="164">
        <v>1</v>
      </c>
      <c r="G26" s="164">
        <v>1</v>
      </c>
      <c r="H26" s="164">
        <v>0</v>
      </c>
    </row>
    <row r="27" spans="3:8" x14ac:dyDescent="0.25">
      <c r="C27" s="163" t="s">
        <v>573</v>
      </c>
      <c r="D27" s="164">
        <v>0</v>
      </c>
      <c r="E27" s="164">
        <v>0</v>
      </c>
      <c r="F27" s="164">
        <v>1</v>
      </c>
      <c r="G27" s="164">
        <v>1</v>
      </c>
      <c r="H27" s="164">
        <v>0</v>
      </c>
    </row>
    <row r="28" spans="3:8" x14ac:dyDescent="0.25">
      <c r="C28" s="163" t="s">
        <v>574</v>
      </c>
      <c r="D28" s="164">
        <v>0</v>
      </c>
      <c r="E28" s="164">
        <v>35</v>
      </c>
      <c r="F28" s="164">
        <v>1</v>
      </c>
      <c r="G28" s="164">
        <v>1</v>
      </c>
      <c r="H28" s="164">
        <v>0</v>
      </c>
    </row>
    <row r="29" spans="3:8" x14ac:dyDescent="0.25">
      <c r="C29" s="163" t="s">
        <v>437</v>
      </c>
      <c r="D29" s="164">
        <v>0</v>
      </c>
      <c r="E29" s="164">
        <v>0</v>
      </c>
      <c r="F29" s="164">
        <v>1</v>
      </c>
      <c r="G29" s="164">
        <v>1</v>
      </c>
      <c r="H29" s="164">
        <v>0</v>
      </c>
    </row>
    <row r="30" spans="3:8" x14ac:dyDescent="0.25">
      <c r="C30" s="163" t="s">
        <v>438</v>
      </c>
      <c r="D30" s="164">
        <v>0</v>
      </c>
      <c r="E30" s="164">
        <v>35</v>
      </c>
      <c r="F30" s="164">
        <v>1</v>
      </c>
      <c r="G30" s="164">
        <v>1</v>
      </c>
      <c r="H30" s="164">
        <v>0</v>
      </c>
    </row>
    <row r="31" spans="3:8" x14ac:dyDescent="0.25">
      <c r="C31" s="163" t="s">
        <v>439</v>
      </c>
      <c r="D31" s="164">
        <v>0</v>
      </c>
      <c r="E31" s="164">
        <v>0</v>
      </c>
      <c r="F31" s="164">
        <v>1</v>
      </c>
      <c r="G31" s="164">
        <v>1</v>
      </c>
      <c r="H31" s="164">
        <v>0</v>
      </c>
    </row>
    <row r="32" spans="3:8" x14ac:dyDescent="0.25">
      <c r="C32" s="163" t="s">
        <v>440</v>
      </c>
      <c r="D32" s="164">
        <v>0</v>
      </c>
      <c r="E32" s="164">
        <v>35</v>
      </c>
      <c r="F32" s="164">
        <v>1</v>
      </c>
      <c r="G32" s="164">
        <v>1</v>
      </c>
      <c r="H32" s="164">
        <v>0</v>
      </c>
    </row>
    <row r="33" spans="3:8" x14ac:dyDescent="0.25">
      <c r="C33" s="163" t="s">
        <v>441</v>
      </c>
      <c r="D33" s="164">
        <v>0</v>
      </c>
      <c r="E33" s="164">
        <v>0</v>
      </c>
      <c r="F33" s="164">
        <v>1</v>
      </c>
      <c r="G33" s="164">
        <v>1</v>
      </c>
      <c r="H33" s="164">
        <v>0</v>
      </c>
    </row>
    <row r="34" spans="3:8" x14ac:dyDescent="0.25">
      <c r="C34" s="163" t="s">
        <v>442</v>
      </c>
      <c r="D34" s="164">
        <v>0</v>
      </c>
      <c r="E34" s="164">
        <v>35</v>
      </c>
      <c r="F34" s="164">
        <v>1</v>
      </c>
      <c r="G34" s="164">
        <v>1</v>
      </c>
      <c r="H34" s="164">
        <v>0</v>
      </c>
    </row>
    <row r="35" spans="3:8" x14ac:dyDescent="0.25">
      <c r="C35" s="163" t="s">
        <v>527</v>
      </c>
      <c r="D35" s="164">
        <v>0</v>
      </c>
      <c r="E35" s="164">
        <v>2</v>
      </c>
      <c r="F35" s="164">
        <v>1</v>
      </c>
      <c r="G35" s="164">
        <v>1</v>
      </c>
      <c r="H35" s="164">
        <v>4.71</v>
      </c>
    </row>
    <row r="36" spans="3:8" x14ac:dyDescent="0.25">
      <c r="C36" s="163" t="s">
        <v>528</v>
      </c>
      <c r="D36" s="164">
        <v>0</v>
      </c>
      <c r="E36" s="164">
        <v>35</v>
      </c>
      <c r="F36" s="164">
        <v>1</v>
      </c>
      <c r="G36" s="164">
        <v>1</v>
      </c>
      <c r="H36" s="164">
        <v>4.71</v>
      </c>
    </row>
    <row r="37" spans="3:8" x14ac:dyDescent="0.25">
      <c r="C37" s="163" t="s">
        <v>529</v>
      </c>
      <c r="D37" s="164">
        <v>0</v>
      </c>
      <c r="E37" s="164">
        <v>2</v>
      </c>
      <c r="F37" s="164">
        <v>1</v>
      </c>
      <c r="G37" s="164">
        <v>1</v>
      </c>
      <c r="H37" s="164">
        <v>4.71</v>
      </c>
    </row>
    <row r="38" spans="3:8" x14ac:dyDescent="0.25">
      <c r="C38" s="163" t="s">
        <v>530</v>
      </c>
      <c r="D38" s="164">
        <v>0</v>
      </c>
      <c r="E38" s="164">
        <v>35</v>
      </c>
      <c r="F38" s="164">
        <v>1</v>
      </c>
      <c r="G38" s="164">
        <v>1</v>
      </c>
      <c r="H38" s="164">
        <v>4.71</v>
      </c>
    </row>
    <row r="39" spans="3:8" x14ac:dyDescent="0.25">
      <c r="C39" s="163" t="s">
        <v>571</v>
      </c>
      <c r="D39" s="164">
        <v>0</v>
      </c>
      <c r="E39" s="164">
        <v>2</v>
      </c>
      <c r="F39" s="164">
        <v>1</v>
      </c>
      <c r="G39" s="164">
        <v>1</v>
      </c>
      <c r="H39" s="164">
        <v>4.71</v>
      </c>
    </row>
    <row r="40" spans="3:8" x14ac:dyDescent="0.25">
      <c r="C40" s="163" t="s">
        <v>572</v>
      </c>
      <c r="D40" s="164">
        <v>0</v>
      </c>
      <c r="E40" s="164">
        <v>35</v>
      </c>
      <c r="F40" s="164">
        <v>1</v>
      </c>
      <c r="G40" s="164">
        <v>1</v>
      </c>
      <c r="H40" s="164">
        <v>4.71</v>
      </c>
    </row>
    <row r="41" spans="3:8" x14ac:dyDescent="0.25">
      <c r="C41" s="163" t="s">
        <v>620</v>
      </c>
      <c r="D41" s="164">
        <v>0</v>
      </c>
      <c r="E41" s="164">
        <v>2</v>
      </c>
      <c r="F41" s="164">
        <v>1</v>
      </c>
      <c r="G41" s="164">
        <v>1</v>
      </c>
      <c r="H41" s="164">
        <v>4.71</v>
      </c>
    </row>
    <row r="42" spans="3:8" x14ac:dyDescent="0.25">
      <c r="C42" s="163" t="s">
        <v>621</v>
      </c>
      <c r="D42" s="164">
        <v>0</v>
      </c>
      <c r="E42" s="164">
        <v>35</v>
      </c>
      <c r="F42" s="164">
        <v>1</v>
      </c>
      <c r="G42" s="164">
        <v>1</v>
      </c>
      <c r="H42" s="164">
        <v>4.71</v>
      </c>
    </row>
    <row r="43" spans="3:8" x14ac:dyDescent="0.25">
      <c r="C43" s="163" t="s">
        <v>622</v>
      </c>
      <c r="D43" s="164">
        <v>0</v>
      </c>
      <c r="E43" s="164">
        <v>2</v>
      </c>
      <c r="F43" s="164">
        <v>1</v>
      </c>
      <c r="G43" s="164">
        <v>1</v>
      </c>
      <c r="H43" s="164">
        <v>4.71</v>
      </c>
    </row>
    <row r="44" spans="3:8" x14ac:dyDescent="0.25">
      <c r="C44" s="163" t="s">
        <v>623</v>
      </c>
      <c r="D44" s="164">
        <v>0</v>
      </c>
      <c r="E44" s="164">
        <v>35</v>
      </c>
      <c r="F44" s="164">
        <v>1</v>
      </c>
      <c r="G44" s="164">
        <v>1</v>
      </c>
      <c r="H44" s="164">
        <v>4.71</v>
      </c>
    </row>
    <row r="45" spans="3:8" x14ac:dyDescent="0.25">
      <c r="C45" s="163" t="s">
        <v>624</v>
      </c>
      <c r="D45" s="164">
        <v>0</v>
      </c>
      <c r="E45" s="164">
        <v>2</v>
      </c>
      <c r="F45" s="164">
        <v>1</v>
      </c>
      <c r="G45" s="164">
        <v>1</v>
      </c>
      <c r="H45" s="164">
        <v>4.71</v>
      </c>
    </row>
    <row r="46" spans="3:8" x14ac:dyDescent="0.25">
      <c r="C46" s="163" t="s">
        <v>625</v>
      </c>
      <c r="D46" s="164">
        <v>0</v>
      </c>
      <c r="E46" s="164">
        <v>35</v>
      </c>
      <c r="F46" s="164">
        <v>1</v>
      </c>
      <c r="G46" s="164">
        <v>1</v>
      </c>
      <c r="H46" s="164">
        <v>4.71</v>
      </c>
    </row>
    <row r="47" spans="3:8" x14ac:dyDescent="0.25">
      <c r="C47" s="163" t="s">
        <v>626</v>
      </c>
      <c r="D47" s="164">
        <v>0</v>
      </c>
      <c r="E47" s="164">
        <v>2</v>
      </c>
      <c r="F47" s="164">
        <v>1</v>
      </c>
      <c r="G47" s="164">
        <v>1</v>
      </c>
      <c r="H47" s="164">
        <v>4.71</v>
      </c>
    </row>
    <row r="48" spans="3:8" x14ac:dyDescent="0.25">
      <c r="C48" s="163" t="s">
        <v>627</v>
      </c>
      <c r="D48" s="164">
        <v>0</v>
      </c>
      <c r="E48" s="164">
        <v>35</v>
      </c>
      <c r="F48" s="164">
        <v>1</v>
      </c>
      <c r="G48" s="164">
        <v>1</v>
      </c>
      <c r="H48" s="164">
        <v>4.71</v>
      </c>
    </row>
    <row r="49" spans="3:8" x14ac:dyDescent="0.25">
      <c r="C49" s="163" t="s">
        <v>628</v>
      </c>
      <c r="D49" s="164">
        <v>0</v>
      </c>
      <c r="E49" s="164">
        <v>2</v>
      </c>
      <c r="F49" s="164">
        <v>1</v>
      </c>
      <c r="G49" s="164">
        <v>1</v>
      </c>
      <c r="H49" s="164">
        <v>4.71</v>
      </c>
    </row>
    <row r="50" spans="3:8" x14ac:dyDescent="0.25">
      <c r="C50" s="163" t="s">
        <v>629</v>
      </c>
      <c r="D50" s="164">
        <v>0</v>
      </c>
      <c r="E50" s="164">
        <v>35</v>
      </c>
      <c r="F50" s="164">
        <v>1</v>
      </c>
      <c r="G50" s="164">
        <v>1</v>
      </c>
      <c r="H50" s="164">
        <v>4.71</v>
      </c>
    </row>
    <row r="51" spans="3:8" x14ac:dyDescent="0.25">
      <c r="C51" s="163" t="s">
        <v>431</v>
      </c>
      <c r="D51" s="164">
        <v>0</v>
      </c>
      <c r="E51" s="164">
        <v>0</v>
      </c>
      <c r="F51" s="164">
        <v>1</v>
      </c>
      <c r="G51" s="164">
        <v>1</v>
      </c>
      <c r="H51" s="164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361</v>
      </c>
      <c r="C4" s="1" t="s">
        <v>362</v>
      </c>
    </row>
    <row r="5" spans="2:3" x14ac:dyDescent="0.25">
      <c r="B5" s="1" t="s">
        <v>363</v>
      </c>
      <c r="C5" s="1" t="s">
        <v>364</v>
      </c>
    </row>
    <row r="6" spans="2:3" x14ac:dyDescent="0.25">
      <c r="B6" s="1" t="s">
        <v>365</v>
      </c>
      <c r="C6" s="1" t="s">
        <v>366</v>
      </c>
    </row>
    <row r="7" spans="2:3" x14ac:dyDescent="0.25">
      <c r="B7" s="1" t="s">
        <v>367</v>
      </c>
      <c r="C7" s="1" t="s">
        <v>368</v>
      </c>
    </row>
    <row r="8" spans="2:3" x14ac:dyDescent="0.25">
      <c r="B8" s="1" t="s">
        <v>369</v>
      </c>
      <c r="C8" s="1" t="s">
        <v>370</v>
      </c>
    </row>
    <row r="9" spans="2:3" x14ac:dyDescent="0.25">
      <c r="B9" s="1" t="s">
        <v>371</v>
      </c>
      <c r="C9" s="1" t="s">
        <v>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41"/>
  <sheetViews>
    <sheetView workbookViewId="0">
      <selection activeCell="G6" sqref="G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175</v>
      </c>
      <c r="B1" t="s">
        <v>592</v>
      </c>
    </row>
    <row r="2" spans="1:11" x14ac:dyDescent="0.25">
      <c r="A2" t="s">
        <v>176</v>
      </c>
      <c r="B2" t="s">
        <v>0</v>
      </c>
      <c r="I2" t="s">
        <v>156</v>
      </c>
    </row>
    <row r="3" spans="1:11" x14ac:dyDescent="0.25">
      <c r="A3" t="s">
        <v>176</v>
      </c>
      <c r="B3" t="s">
        <v>177</v>
      </c>
      <c r="I3" t="s">
        <v>157</v>
      </c>
    </row>
    <row r="4" spans="1:11" ht="15.75" customHeight="1" x14ac:dyDescent="0.25">
      <c r="A4" t="s">
        <v>176</v>
      </c>
      <c r="B4" t="s">
        <v>10</v>
      </c>
      <c r="J4" t="s">
        <v>8</v>
      </c>
      <c r="K4" t="s">
        <v>158</v>
      </c>
    </row>
    <row r="5" spans="1:11" ht="15.75" customHeight="1" x14ac:dyDescent="0.25">
      <c r="A5" t="s">
        <v>176</v>
      </c>
      <c r="B5" t="s">
        <v>11</v>
      </c>
      <c r="J5" t="s">
        <v>9</v>
      </c>
      <c r="K5" t="s">
        <v>159</v>
      </c>
    </row>
    <row r="6" spans="1:11" x14ac:dyDescent="0.25">
      <c r="A6" t="s">
        <v>176</v>
      </c>
      <c r="B6" t="s">
        <v>341</v>
      </c>
    </row>
    <row r="7" spans="1:11" x14ac:dyDescent="0.25">
      <c r="A7" t="s">
        <v>176</v>
      </c>
      <c r="B7" t="s">
        <v>328</v>
      </c>
      <c r="I7" t="s">
        <v>467</v>
      </c>
    </row>
    <row r="8" spans="1:11" x14ac:dyDescent="0.25">
      <c r="I8" t="s">
        <v>445</v>
      </c>
    </row>
    <row r="26" spans="9:11" x14ac:dyDescent="0.25">
      <c r="I26" t="s">
        <v>444</v>
      </c>
    </row>
    <row r="27" spans="9:11" x14ac:dyDescent="0.25">
      <c r="I27" t="s">
        <v>445</v>
      </c>
      <c r="K27" t="s">
        <v>446</v>
      </c>
    </row>
    <row r="28" spans="9:11" x14ac:dyDescent="0.25">
      <c r="J28" t="s">
        <v>447</v>
      </c>
      <c r="K28" t="s">
        <v>448</v>
      </c>
    </row>
    <row r="29" spans="9:11" x14ac:dyDescent="0.25">
      <c r="J29" t="s">
        <v>449</v>
      </c>
      <c r="K29" t="s">
        <v>450</v>
      </c>
    </row>
    <row r="30" spans="9:11" x14ac:dyDescent="0.25">
      <c r="I30" t="s">
        <v>451</v>
      </c>
      <c r="K30" t="s">
        <v>452</v>
      </c>
    </row>
    <row r="31" spans="9:11" x14ac:dyDescent="0.25">
      <c r="J31" t="s">
        <v>453</v>
      </c>
      <c r="K31" t="s">
        <v>454</v>
      </c>
    </row>
    <row r="32" spans="9:11" x14ac:dyDescent="0.25">
      <c r="J32" t="s">
        <v>455</v>
      </c>
      <c r="K32" t="s">
        <v>456</v>
      </c>
    </row>
    <row r="33" spans="9:11" x14ac:dyDescent="0.25">
      <c r="J33" t="s">
        <v>457</v>
      </c>
      <c r="K33" t="s">
        <v>458</v>
      </c>
    </row>
    <row r="34" spans="9:11" x14ac:dyDescent="0.25">
      <c r="J34" t="s">
        <v>459</v>
      </c>
      <c r="K34" t="s">
        <v>460</v>
      </c>
    </row>
    <row r="35" spans="9:11" x14ac:dyDescent="0.25">
      <c r="J35" t="s">
        <v>461</v>
      </c>
      <c r="K35" t="s">
        <v>462</v>
      </c>
    </row>
    <row r="36" spans="9:11" x14ac:dyDescent="0.25">
      <c r="I36" t="s">
        <v>463</v>
      </c>
      <c r="K36" t="s">
        <v>464</v>
      </c>
    </row>
    <row r="37" spans="9:11" x14ac:dyDescent="0.25">
      <c r="J37" t="s">
        <v>453</v>
      </c>
      <c r="K37" t="s">
        <v>454</v>
      </c>
    </row>
    <row r="38" spans="9:11" x14ac:dyDescent="0.25">
      <c r="J38" t="s">
        <v>455</v>
      </c>
      <c r="K38" t="s">
        <v>456</v>
      </c>
    </row>
    <row r="39" spans="9:11" x14ac:dyDescent="0.25">
      <c r="J39" t="s">
        <v>457</v>
      </c>
      <c r="K39" t="s">
        <v>458</v>
      </c>
    </row>
    <row r="40" spans="9:11" x14ac:dyDescent="0.25">
      <c r="J40" t="s">
        <v>459</v>
      </c>
      <c r="K40" t="s">
        <v>460</v>
      </c>
    </row>
    <row r="41" spans="9:11" x14ac:dyDescent="0.25">
      <c r="J41" t="s">
        <v>465</v>
      </c>
      <c r="K41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3" sqref="B3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170</v>
      </c>
      <c r="B1" t="s">
        <v>173</v>
      </c>
    </row>
    <row r="2" spans="1:2" x14ac:dyDescent="0.25">
      <c r="A2" t="s">
        <v>171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172</v>
      </c>
      <c r="B3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P11"/>
  <sheetViews>
    <sheetView topLeftCell="AV1" workbookViewId="0">
      <selection activeCell="BA8" sqref="BA8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8" width="12.7109375" customWidth="1"/>
    <col min="39" max="39" width="3.7109375" customWidth="1"/>
    <col min="40" max="42" width="12.7109375" customWidth="1"/>
    <col min="43" max="51" width="14.140625" customWidth="1"/>
    <col min="52" max="53" width="16" customWidth="1"/>
    <col min="54" max="67" width="12.7109375" customWidth="1"/>
  </cols>
  <sheetData>
    <row r="3" spans="1:68" x14ac:dyDescent="0.25">
      <c r="D3" s="252" t="s">
        <v>316</v>
      </c>
      <c r="E3" s="252"/>
      <c r="F3" s="252"/>
    </row>
    <row r="4" spans="1:68" x14ac:dyDescent="0.25">
      <c r="D4" s="67" t="s">
        <v>317</v>
      </c>
      <c r="E4" s="68"/>
      <c r="F4" s="71" t="s">
        <v>37</v>
      </c>
    </row>
    <row r="7" spans="1:68" x14ac:dyDescent="0.25">
      <c r="A7">
        <f>COLUMN(A7)-1</f>
        <v>0</v>
      </c>
      <c r="B7">
        <f t="shared" ref="B7:BP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Q7">
        <f t="shared" si="0"/>
        <v>42</v>
      </c>
      <c r="AV7">
        <f t="shared" si="0"/>
        <v>47</v>
      </c>
      <c r="AW7">
        <f t="shared" si="0"/>
        <v>48</v>
      </c>
      <c r="AX7">
        <f t="shared" si="0"/>
        <v>49</v>
      </c>
      <c r="AY7">
        <f t="shared" si="0"/>
        <v>50</v>
      </c>
      <c r="AZ7">
        <f t="shared" si="0"/>
        <v>51</v>
      </c>
      <c r="BA7">
        <f t="shared" si="0"/>
        <v>52</v>
      </c>
      <c r="BB7">
        <f t="shared" si="0"/>
        <v>53</v>
      </c>
      <c r="BC7">
        <f t="shared" si="0"/>
        <v>54</v>
      </c>
      <c r="BD7" s="84">
        <f t="shared" si="0"/>
        <v>55</v>
      </c>
      <c r="BE7" s="84">
        <f t="shared" si="0"/>
        <v>56</v>
      </c>
      <c r="BF7" s="84">
        <f t="shared" si="0"/>
        <v>57</v>
      </c>
      <c r="BG7" s="84">
        <f t="shared" si="0"/>
        <v>58</v>
      </c>
      <c r="BH7">
        <f t="shared" si="0"/>
        <v>59</v>
      </c>
      <c r="BI7">
        <f t="shared" si="0"/>
        <v>60</v>
      </c>
      <c r="BJ7">
        <f t="shared" si="0"/>
        <v>61</v>
      </c>
      <c r="BP7">
        <f t="shared" si="0"/>
        <v>67</v>
      </c>
    </row>
    <row r="8" spans="1:68" ht="135" x14ac:dyDescent="0.25">
      <c r="B8" s="223"/>
      <c r="C8" s="251" t="s">
        <v>1</v>
      </c>
      <c r="D8" s="251"/>
      <c r="E8" s="251"/>
      <c r="F8" s="253" t="s">
        <v>323</v>
      </c>
      <c r="G8" s="253"/>
      <c r="H8" s="253"/>
      <c r="I8" s="251" t="s">
        <v>165</v>
      </c>
      <c r="J8" s="251"/>
      <c r="K8" s="251"/>
      <c r="L8" s="251" t="s">
        <v>178</v>
      </c>
      <c r="M8" s="251"/>
      <c r="N8" s="251"/>
      <c r="O8" s="251" t="s">
        <v>7</v>
      </c>
      <c r="P8" s="251"/>
      <c r="Q8" s="251"/>
      <c r="R8" s="251" t="s">
        <v>179</v>
      </c>
      <c r="S8" s="251"/>
      <c r="T8" s="251"/>
      <c r="U8" s="251" t="s">
        <v>166</v>
      </c>
      <c r="V8" s="251"/>
      <c r="W8" s="251"/>
      <c r="X8" s="251" t="s">
        <v>181</v>
      </c>
      <c r="Y8" s="251"/>
      <c r="Z8" s="251"/>
      <c r="AA8" s="251" t="s">
        <v>182</v>
      </c>
      <c r="AB8" s="251"/>
      <c r="AC8" s="251"/>
      <c r="AD8" s="251" t="s">
        <v>3</v>
      </c>
      <c r="AE8" s="251"/>
      <c r="AF8" s="251"/>
      <c r="AG8" s="251" t="s">
        <v>380</v>
      </c>
      <c r="AH8" s="251"/>
      <c r="AI8" s="251"/>
      <c r="AJ8" s="251" t="s">
        <v>599</v>
      </c>
      <c r="AK8" s="251"/>
      <c r="AL8" s="251"/>
      <c r="AM8" s="251" t="s">
        <v>595</v>
      </c>
      <c r="AN8" s="251"/>
      <c r="AO8" s="251"/>
      <c r="AP8" s="107" t="s">
        <v>419</v>
      </c>
      <c r="AQ8" s="87" t="s">
        <v>325</v>
      </c>
      <c r="AR8" s="87" t="s">
        <v>470</v>
      </c>
      <c r="AS8" s="87" t="s">
        <v>471</v>
      </c>
      <c r="AT8" s="87" t="s">
        <v>472</v>
      </c>
      <c r="AU8" s="87" t="s">
        <v>594</v>
      </c>
      <c r="AV8" s="90" t="s">
        <v>385</v>
      </c>
      <c r="AW8" s="90" t="s">
        <v>386</v>
      </c>
      <c r="AX8" s="90" t="s">
        <v>387</v>
      </c>
      <c r="AY8" s="93" t="s">
        <v>388</v>
      </c>
      <c r="AZ8" s="87" t="s">
        <v>326</v>
      </c>
      <c r="BA8" s="87" t="s">
        <v>327</v>
      </c>
      <c r="BB8" s="85" t="s">
        <v>185</v>
      </c>
      <c r="BC8" s="86" t="s">
        <v>317</v>
      </c>
      <c r="BD8" s="101" t="s">
        <v>394</v>
      </c>
      <c r="BE8" s="101" t="s">
        <v>395</v>
      </c>
      <c r="BF8" s="93" t="s">
        <v>392</v>
      </c>
      <c r="BG8" s="100" t="s">
        <v>393</v>
      </c>
      <c r="BH8" s="85" t="s">
        <v>186</v>
      </c>
      <c r="BI8" s="85" t="s">
        <v>187</v>
      </c>
      <c r="BJ8" s="85" t="s">
        <v>188</v>
      </c>
      <c r="BK8" s="85" t="s">
        <v>381</v>
      </c>
      <c r="BL8" s="70"/>
      <c r="BM8" s="70"/>
      <c r="BN8" s="70"/>
      <c r="BO8" s="70"/>
    </row>
    <row r="9" spans="1:68" x14ac:dyDescent="0.25">
      <c r="B9" s="51"/>
      <c r="C9" s="51" t="s">
        <v>164</v>
      </c>
      <c r="D9" s="52" t="s">
        <v>162</v>
      </c>
      <c r="E9" s="95" t="s">
        <v>163</v>
      </c>
      <c r="F9" s="51" t="s">
        <v>164</v>
      </c>
      <c r="G9" s="52" t="s">
        <v>162</v>
      </c>
      <c r="H9" s="53" t="s">
        <v>163</v>
      </c>
      <c r="I9" s="51" t="s">
        <v>164</v>
      </c>
      <c r="J9" s="52" t="s">
        <v>162</v>
      </c>
      <c r="K9" s="95" t="s">
        <v>163</v>
      </c>
      <c r="L9" s="51" t="s">
        <v>164</v>
      </c>
      <c r="M9" s="52" t="s">
        <v>162</v>
      </c>
      <c r="N9" s="95" t="s">
        <v>163</v>
      </c>
      <c r="O9" s="51" t="s">
        <v>164</v>
      </c>
      <c r="P9" s="52" t="s">
        <v>162</v>
      </c>
      <c r="Q9" s="53" t="s">
        <v>163</v>
      </c>
      <c r="R9" s="51" t="s">
        <v>164</v>
      </c>
      <c r="S9" s="52" t="s">
        <v>162</v>
      </c>
      <c r="T9" s="95" t="s">
        <v>163</v>
      </c>
      <c r="U9" s="51" t="s">
        <v>164</v>
      </c>
      <c r="V9" s="52" t="s">
        <v>162</v>
      </c>
      <c r="W9" s="53" t="s">
        <v>163</v>
      </c>
      <c r="X9" s="51" t="s">
        <v>164</v>
      </c>
      <c r="Y9" s="52" t="s">
        <v>162</v>
      </c>
      <c r="Z9" s="53" t="s">
        <v>163</v>
      </c>
      <c r="AA9" s="51" t="s">
        <v>164</v>
      </c>
      <c r="AB9" s="52" t="s">
        <v>162</v>
      </c>
      <c r="AC9" s="53" t="s">
        <v>163</v>
      </c>
      <c r="AD9" s="51" t="s">
        <v>164</v>
      </c>
      <c r="AE9" s="52" t="s">
        <v>162</v>
      </c>
      <c r="AF9" s="53" t="s">
        <v>163</v>
      </c>
      <c r="AG9" s="51" t="s">
        <v>164</v>
      </c>
      <c r="AH9" s="52" t="s">
        <v>162</v>
      </c>
      <c r="AI9" s="53" t="s">
        <v>163</v>
      </c>
      <c r="AJ9" s="51" t="s">
        <v>164</v>
      </c>
      <c r="AK9" s="52" t="s">
        <v>162</v>
      </c>
      <c r="AL9" s="53" t="s">
        <v>163</v>
      </c>
      <c r="AM9" s="51" t="s">
        <v>164</v>
      </c>
      <c r="AN9" s="52" t="s">
        <v>162</v>
      </c>
      <c r="AO9" s="222" t="s">
        <v>163</v>
      </c>
      <c r="AP9" s="52" t="s">
        <v>162</v>
      </c>
      <c r="AQ9" s="72"/>
      <c r="AR9" s="72"/>
      <c r="AS9" s="72"/>
      <c r="AT9" s="72"/>
      <c r="AU9" s="72"/>
      <c r="AV9" s="91"/>
      <c r="AW9" s="91"/>
      <c r="AX9" s="91"/>
      <c r="AY9" s="91"/>
      <c r="AZ9" s="72"/>
      <c r="BA9" s="72"/>
      <c r="BB9" s="55"/>
      <c r="BC9" s="69"/>
      <c r="BD9" s="83"/>
      <c r="BE9" s="83"/>
      <c r="BF9" s="91"/>
      <c r="BG9" s="91"/>
      <c r="BH9" s="55"/>
      <c r="BI9" s="55"/>
      <c r="BJ9" s="55"/>
      <c r="BK9" s="55"/>
      <c r="BL9" s="70"/>
      <c r="BM9" s="70"/>
      <c r="BN9" s="70"/>
      <c r="BO9" s="70"/>
    </row>
    <row r="10" spans="1:68" x14ac:dyDescent="0.25">
      <c r="B10" s="51" t="s">
        <v>2</v>
      </c>
      <c r="C10" s="51"/>
      <c r="D10" s="52"/>
      <c r="E10" s="95"/>
      <c r="F10" s="51"/>
      <c r="G10" s="52"/>
      <c r="H10" s="53"/>
      <c r="I10" s="51"/>
      <c r="J10" s="52"/>
      <c r="K10" s="95"/>
      <c r="L10" s="51"/>
      <c r="M10" s="52"/>
      <c r="N10" s="95"/>
      <c r="O10" s="51"/>
      <c r="P10" s="52"/>
      <c r="Q10" s="53"/>
      <c r="R10" s="51"/>
      <c r="S10" s="52"/>
      <c r="T10" s="95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53"/>
      <c r="AJ10" s="51"/>
      <c r="AK10" s="52"/>
      <c r="AL10" s="53"/>
      <c r="AM10" s="51"/>
      <c r="AN10" s="52"/>
      <c r="AO10" s="222"/>
      <c r="AP10" s="52"/>
      <c r="AQ10" s="73"/>
      <c r="AR10" s="73"/>
      <c r="AS10" s="73"/>
      <c r="AT10" s="73"/>
      <c r="AU10" s="73"/>
      <c r="AV10" s="92"/>
      <c r="AW10" s="92"/>
      <c r="AX10" s="92"/>
      <c r="AY10" s="92"/>
      <c r="AZ10" s="73"/>
      <c r="BA10" s="73"/>
      <c r="BB10" s="55"/>
      <c r="BC10" s="69"/>
      <c r="BD10" s="83"/>
      <c r="BE10" s="83"/>
      <c r="BF10" s="92"/>
      <c r="BG10" s="92"/>
      <c r="BH10" s="55"/>
      <c r="BI10" s="55"/>
      <c r="BJ10" s="55"/>
      <c r="BK10" s="55"/>
      <c r="BL10" s="70"/>
      <c r="BM10" s="70"/>
      <c r="BN10" s="70"/>
      <c r="BO10" s="70"/>
    </row>
    <row r="11" spans="1:68" x14ac:dyDescent="0.25">
      <c r="B11" s="51" t="s">
        <v>160</v>
      </c>
      <c r="C11" s="54" t="s">
        <v>168</v>
      </c>
      <c r="D11" s="52"/>
      <c r="E11" s="95"/>
      <c r="F11" s="54" t="s">
        <v>320</v>
      </c>
      <c r="G11" s="52"/>
      <c r="H11" s="53"/>
      <c r="I11" s="54" t="s">
        <v>321</v>
      </c>
      <c r="J11" s="52"/>
      <c r="K11" s="95"/>
      <c r="L11" s="54" t="s">
        <v>322</v>
      </c>
      <c r="M11" s="52"/>
      <c r="N11" s="95"/>
      <c r="O11" s="54" t="s">
        <v>167</v>
      </c>
      <c r="P11" s="52"/>
      <c r="Q11" s="53"/>
      <c r="R11" s="54" t="s">
        <v>324</v>
      </c>
      <c r="S11" s="52"/>
      <c r="T11" s="95"/>
      <c r="U11" s="54" t="s">
        <v>169</v>
      </c>
      <c r="V11" s="52"/>
      <c r="W11" s="53"/>
      <c r="X11" s="54" t="s">
        <v>180</v>
      </c>
      <c r="Y11" s="52"/>
      <c r="Z11" s="53"/>
      <c r="AA11" s="54" t="s">
        <v>183</v>
      </c>
      <c r="AB11" s="52"/>
      <c r="AC11" s="53"/>
      <c r="AD11" s="54" t="s">
        <v>184</v>
      </c>
      <c r="AE11" s="52"/>
      <c r="AF11" s="53"/>
      <c r="AG11" s="54" t="s">
        <v>379</v>
      </c>
      <c r="AH11" s="52"/>
      <c r="AI11" s="53"/>
      <c r="AJ11" s="54" t="s">
        <v>600</v>
      </c>
      <c r="AK11" s="52"/>
      <c r="AL11" s="53"/>
      <c r="AM11" s="54" t="s">
        <v>596</v>
      </c>
      <c r="AN11" s="52"/>
      <c r="AO11" s="222"/>
      <c r="AP11" s="52" t="s">
        <v>420</v>
      </c>
      <c r="AQ11" s="72" t="str">
        <f>J11&amp;"-"&amp;M11&amp;"-"&amp;S11</f>
        <v>--</v>
      </c>
      <c r="AR11" s="72">
        <f>IF(S11="XPS",1,0)</f>
        <v>0</v>
      </c>
      <c r="AS11" s="72">
        <f>IF(S11="XT",1,0)</f>
        <v>0</v>
      </c>
      <c r="AT11" s="72">
        <f>IF(S11="Вкл",1,0)</f>
        <v>0</v>
      </c>
      <c r="AU11" s="72">
        <f>IF(AN11="",0,1)</f>
        <v>0</v>
      </c>
      <c r="AV11" s="91">
        <f>IFERROR(IF(AU11=1,0,IF(SUM(AR11:AT11)&gt;0,0,IF(INDEX($AH$11:AH11,MATCH(J11,$D$11:D11,0))="True",1,0))),-1)</f>
        <v>-1</v>
      </c>
      <c r="AW11" s="91" t="str">
        <f>IF(AV11=-1,IF(SUM(AR11:AT11)&gt;0,INDEX($AW$11:AW11,COUNT($BB$11:BB11)-1),"-1"),IF(AV11=1,J11,INDEX($AW$11:AW11,COUNT($BB$11:BB11)-1)))</f>
        <v>-1</v>
      </c>
      <c r="AX11" s="91">
        <f>IF(AV11=-1,-1,IF(AV11=1,M11,INDEX($AX$11:AX11,COUNT($BB$11:BB11)-1)))</f>
        <v>-1</v>
      </c>
      <c r="AY11" s="91" t="str">
        <f>IF(AW11="-1","-1",IF(AW11&lt;&gt;J11,1,0))</f>
        <v>-1</v>
      </c>
      <c r="AZ11" s="72">
        <f>IF(COUNT($BB$11:BB11)=MATCH(AQ11,$AQ$11:AQ11,0),1,0)</f>
        <v>1</v>
      </c>
      <c r="BA11" s="72">
        <f>SUMIFS($BB$11:$BB$700000,$AQ$11:$AQ$700000,AQ11)</f>
        <v>1</v>
      </c>
      <c r="BB11" s="55">
        <v>1</v>
      </c>
      <c r="BC11" s="69" t="str">
        <f>$F$4</f>
        <v>-</v>
      </c>
      <c r="BD11" s="83">
        <f>IF(AK11="True",IF(BC11=AW11,IF(AZ11=1,IF(AU11=1,0,IF(SUM(AR11:AT11)&gt;0,0,1)),0),0),0)</f>
        <v>0</v>
      </c>
      <c r="BE11" s="83">
        <f>IF(AK11="True",IF(BC11=D11,1,0),0)</f>
        <v>0</v>
      </c>
      <c r="BF11" s="91">
        <f>SUMIF(J11:$J$700000,D11,BB11:$BB$700000)</f>
        <v>0</v>
      </c>
      <c r="BG11" s="91" t="str">
        <f>IF(AV11=-1,"0",1+INDEX($BG$11:$BG$700000,MATCH(J11,$D$11:$D$700000,0)))</f>
        <v>0</v>
      </c>
      <c r="BH11" s="55">
        <f>SUMIFS($BB$11:$BB$700000,$S$11:$S$700000,S11,$M$11:$M$700000,M11)</f>
        <v>0</v>
      </c>
      <c r="BI11" s="55">
        <f>IF(SUMIFS($BB$11:BB11,$S$11:S11,S11,$M$11:M11,M11)=1,1,0)</f>
        <v>0</v>
      </c>
      <c r="BJ11" s="55">
        <f>IF(BI11=1,1,0)</f>
        <v>0</v>
      </c>
      <c r="BK11" s="55">
        <f>M11</f>
        <v>0</v>
      </c>
      <c r="BL11" s="70"/>
      <c r="BM11" s="70"/>
      <c r="BN11" s="70"/>
      <c r="BO11" s="70"/>
      <c r="BP11" t="s">
        <v>161</v>
      </c>
    </row>
  </sheetData>
  <mergeCells count="14">
    <mergeCell ref="AM8:AO8"/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  <mergeCell ref="AJ8:AL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170</v>
      </c>
      <c r="B1" t="s">
        <v>173</v>
      </c>
    </row>
    <row r="2" spans="1:2" x14ac:dyDescent="0.25">
      <c r="A2" t="s">
        <v>171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172</v>
      </c>
      <c r="B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  <vt:lpstr>&lt;zallcab&gt;EXPORT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2025-06-20T08:49:19Z</dcterms:modified>
</cp:coreProperties>
</file>