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staudtwillet/Desktop/"/>
    </mc:Choice>
  </mc:AlternateContent>
  <xr:revisionPtr revIDLastSave="0" documentId="13_ncr:1_{9DE2A216-141E-5D4E-8BD1-B11806B6B484}" xr6:coauthVersionLast="47" xr6:coauthVersionMax="47" xr10:uidLastSave="{00000000-0000-0000-0000-000000000000}"/>
  <bookViews>
    <workbookView xWindow="3960" yWindow="500" windowWidth="24820" windowHeight="14760" tabRatio="935" xr2:uid="{00000000-000D-0000-FFFF-FFFF00000000}"/>
  </bookViews>
  <sheets>
    <sheet name="Basics" sheetId="7" r:id="rId1"/>
    <sheet name="replacement of cases" sheetId="1" r:id="rId2"/>
    <sheet name="Coeff of proportionality" sheetId="17" r:id="rId3"/>
    <sheet name="correlation based" sheetId="2" r:id="rId4"/>
    <sheet name="impact figure" sheetId="11" r:id="rId5"/>
    <sheet name="Range of threshol plot" sheetId="14" r:id="rId6"/>
    <sheet name="impact curve" sheetId="10" r:id="rId7"/>
    <sheet name="attrition" sheetId="3" r:id="rId8"/>
    <sheet name="effective n" sheetId="4" r:id="rId9"/>
    <sheet name="differential attrition" sheetId="5" r:id="rId10"/>
    <sheet name="partial correlation" sheetId="12" r:id="rId11"/>
    <sheet name="testing independent betas" sheetId="6" r:id="rId12"/>
  </sheets>
  <calcPr calcId="191029"/>
  <customWorkbookViews>
    <customWorkbookView name="Frank, Kenneth - Personal View" guid="{0EA9B495-FD28-404D-B849-E5531D863006}" mergeInterval="0" personalView="1" maximized="1" windowWidth="1276" windowHeight="57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1" l="1"/>
  <c r="L16" i="2"/>
  <c r="A8" i="7"/>
  <c r="M3" i="17"/>
  <c r="K4" i="7"/>
  <c r="I3" i="17"/>
  <c r="E3" i="17"/>
  <c r="B3" i="17"/>
  <c r="A3" i="17"/>
  <c r="D17" i="1"/>
  <c r="C17" i="1"/>
  <c r="K35" i="2" l="1"/>
  <c r="A6" i="2"/>
  <c r="D6" i="2"/>
  <c r="E6" i="2"/>
  <c r="G15" i="2" s="1"/>
  <c r="H6" i="2"/>
  <c r="F5" i="4"/>
  <c r="H5" i="4" s="1"/>
  <c r="A3" i="1"/>
  <c r="B3" i="1"/>
  <c r="A8" i="6"/>
  <c r="C6" i="2"/>
  <c r="I6" i="2"/>
  <c r="E79" i="10"/>
  <c r="A79" i="10"/>
  <c r="I25" i="10"/>
  <c r="E78" i="10" s="1"/>
  <c r="E37" i="10" s="1"/>
  <c r="A78" i="10"/>
  <c r="A77" i="10"/>
  <c r="A76" i="10"/>
  <c r="A75" i="10"/>
  <c r="B40" i="10" s="1"/>
  <c r="A74" i="10"/>
  <c r="A73" i="10"/>
  <c r="A72" i="10"/>
  <c r="A71" i="10"/>
  <c r="A70" i="10"/>
  <c r="A69" i="10"/>
  <c r="A68" i="10"/>
  <c r="A67" i="10"/>
  <c r="B48" i="10" s="1"/>
  <c r="A66" i="10"/>
  <c r="A65" i="10"/>
  <c r="A64" i="10"/>
  <c r="A63" i="10"/>
  <c r="A62" i="10"/>
  <c r="A61" i="10"/>
  <c r="A60" i="10"/>
  <c r="B55" i="10" s="1"/>
  <c r="A59" i="10"/>
  <c r="B56" i="10" s="1"/>
  <c r="A58" i="10"/>
  <c r="B54" i="10"/>
  <c r="F22" i="4"/>
  <c r="E22" i="4"/>
  <c r="B22" i="4"/>
  <c r="C47" i="4"/>
  <c r="C12" i="4"/>
  <c r="C9" i="4"/>
  <c r="G6" i="2"/>
  <c r="A44" i="4"/>
  <c r="A43" i="4"/>
  <c r="F23" i="4"/>
  <c r="F24" i="4"/>
  <c r="E23" i="4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B44" i="4"/>
  <c r="B43" i="4"/>
  <c r="A15" i="4"/>
  <c r="H49" i="4"/>
  <c r="D49" i="4" s="1"/>
  <c r="D53" i="4" s="1"/>
  <c r="A50" i="4"/>
  <c r="A53" i="4" s="1"/>
  <c r="A49" i="4"/>
  <c r="A52" i="4"/>
  <c r="G12" i="4"/>
  <c r="A46" i="4"/>
  <c r="A47" i="4" s="1"/>
  <c r="A12" i="6"/>
  <c r="A13" i="6" s="1"/>
  <c r="H12" i="6" s="1"/>
  <c r="B3" i="12"/>
  <c r="F3" i="12" s="1"/>
  <c r="D3" i="12"/>
  <c r="D3" i="1"/>
  <c r="B4" i="5"/>
  <c r="E13" i="5" s="1"/>
  <c r="H13" i="5" s="1"/>
  <c r="C8" i="2"/>
  <c r="E80" i="4"/>
  <c r="E81" i="4" s="1"/>
  <c r="F80" i="4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G80" i="4"/>
  <c r="G81" i="4"/>
  <c r="G82" i="4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B80" i="4"/>
  <c r="F56" i="4"/>
  <c r="F57" i="4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E56" i="4"/>
  <c r="E57" i="4" s="1"/>
  <c r="B56" i="4"/>
  <c r="E5" i="6"/>
  <c r="F5" i="6"/>
  <c r="G5" i="6" s="1"/>
  <c r="D5" i="6"/>
  <c r="O4" i="6"/>
  <c r="P4" i="6" s="1"/>
  <c r="Q4" i="6"/>
  <c r="D4" i="6"/>
  <c r="L4" i="6" s="1"/>
  <c r="N4" i="6" s="1"/>
  <c r="K4" i="6"/>
  <c r="M4" i="6" s="1"/>
  <c r="E4" i="6"/>
  <c r="F4" i="6"/>
  <c r="G4" i="6" s="1"/>
  <c r="H4" i="6"/>
  <c r="E12" i="5"/>
  <c r="E11" i="5" s="1"/>
  <c r="B22" i="5"/>
  <c r="F13" i="5"/>
  <c r="F33" i="11"/>
  <c r="E10" i="5"/>
  <c r="F10" i="5" s="1"/>
  <c r="B57" i="10"/>
  <c r="B52" i="10"/>
  <c r="B50" i="10"/>
  <c r="B46" i="10"/>
  <c r="B44" i="10"/>
  <c r="B42" i="10"/>
  <c r="B38" i="10"/>
  <c r="B36" i="10"/>
  <c r="A11" i="7"/>
  <c r="H25" i="10"/>
  <c r="B37" i="10"/>
  <c r="B39" i="10"/>
  <c r="B41" i="10"/>
  <c r="B43" i="10"/>
  <c r="B45" i="10"/>
  <c r="B47" i="10"/>
  <c r="B49" i="10"/>
  <c r="B51" i="10"/>
  <c r="B53" i="10"/>
  <c r="B7" i="3"/>
  <c r="F6" i="2"/>
  <c r="Q5" i="2"/>
  <c r="Q18" i="2"/>
  <c r="D39" i="2" s="1"/>
  <c r="A34" i="2"/>
  <c r="F39" i="2"/>
  <c r="F38" i="2"/>
  <c r="F40" i="2"/>
  <c r="D35" i="2"/>
  <c r="A38" i="2" s="1"/>
  <c r="B35" i="2"/>
  <c r="A36" i="2" s="1"/>
  <c r="B36" i="2"/>
  <c r="C37" i="2" s="1"/>
  <c r="C35" i="2"/>
  <c r="A37" i="2" s="1"/>
  <c r="H19" i="2"/>
  <c r="H10" i="2"/>
  <c r="K20" i="2"/>
  <c r="K19" i="2"/>
  <c r="K21" i="2"/>
  <c r="L20" i="2"/>
  <c r="L11" i="2"/>
  <c r="K12" i="2"/>
  <c r="K11" i="2"/>
  <c r="K10" i="2"/>
  <c r="D38" i="2"/>
  <c r="J5" i="1"/>
  <c r="K5" i="1"/>
  <c r="L21" i="2"/>
  <c r="L12" i="2"/>
  <c r="L17" i="2"/>
  <c r="M17" i="2"/>
  <c r="K27" i="2"/>
  <c r="H34" i="2"/>
  <c r="G37" i="2"/>
  <c r="G36" i="2"/>
  <c r="I35" i="2"/>
  <c r="F7" i="2"/>
  <c r="L13" i="2"/>
  <c r="E36" i="10"/>
  <c r="H50" i="4"/>
  <c r="D50" i="4"/>
  <c r="D52" i="4"/>
  <c r="F25" i="4"/>
  <c r="B23" i="4"/>
  <c r="F26" i="4"/>
  <c r="F27" i="4" s="1"/>
  <c r="B24" i="1" l="1"/>
  <c r="M32" i="2"/>
  <c r="K26" i="2"/>
  <c r="L22" i="2"/>
  <c r="G27" i="2"/>
  <c r="G14" i="2"/>
  <c r="G13" i="2"/>
  <c r="G5" i="1"/>
  <c r="A32" i="2"/>
  <c r="L32" i="2"/>
  <c r="K14" i="2"/>
  <c r="G12" i="2"/>
  <c r="F4" i="1"/>
  <c r="F5" i="1"/>
  <c r="G4" i="1" s="1"/>
  <c r="G6" i="1"/>
  <c r="A17" i="2"/>
  <c r="B12" i="2"/>
  <c r="D4" i="5" s="1"/>
  <c r="E4" i="5" s="1"/>
  <c r="F4" i="5" s="1"/>
  <c r="B21" i="2"/>
  <c r="B25" i="1"/>
  <c r="G5" i="2"/>
  <c r="C11" i="2"/>
  <c r="O26" i="2"/>
  <c r="B8" i="7"/>
  <c r="C8" i="7" s="1"/>
  <c r="B6" i="2" s="1"/>
  <c r="C3" i="3"/>
  <c r="C4" i="3" s="1"/>
  <c r="H3" i="1"/>
  <c r="E17" i="1" s="1"/>
  <c r="B4" i="1"/>
  <c r="F28" i="4"/>
  <c r="B27" i="4"/>
  <c r="E46" i="4"/>
  <c r="A9" i="6"/>
  <c r="H8" i="6" s="1"/>
  <c r="B26" i="4"/>
  <c r="B25" i="4"/>
  <c r="B57" i="4"/>
  <c r="E58" i="4"/>
  <c r="B24" i="4"/>
  <c r="B81" i="4"/>
  <c r="E82" i="4"/>
  <c r="F11" i="5"/>
  <c r="F12" i="5" s="1"/>
  <c r="E20" i="5" s="1"/>
  <c r="E38" i="2"/>
  <c r="I4" i="6"/>
  <c r="J4" i="6" s="1"/>
  <c r="F15" i="5"/>
  <c r="E39" i="2"/>
  <c r="E3" i="12"/>
  <c r="C12" i="2" l="1"/>
  <c r="C21" i="2"/>
  <c r="E4" i="3"/>
  <c r="E3" i="3"/>
  <c r="F3" i="3" s="1"/>
  <c r="G14" i="1"/>
  <c r="I5" i="1"/>
  <c r="A4" i="14" s="1"/>
  <c r="E5" i="5"/>
  <c r="D5" i="5" s="1"/>
  <c r="F5" i="5" s="1"/>
  <c r="C3" i="1"/>
  <c r="E3" i="1" s="1"/>
  <c r="B3" i="3"/>
  <c r="D3" i="3" s="1"/>
  <c r="A4" i="5"/>
  <c r="D8" i="7"/>
  <c r="B4" i="3"/>
  <c r="D4" i="3" s="1"/>
  <c r="B58" i="4"/>
  <c r="E59" i="4"/>
  <c r="A12" i="2"/>
  <c r="A21" i="2"/>
  <c r="H37" i="2"/>
  <c r="H36" i="2"/>
  <c r="E83" i="4"/>
  <c r="B82" i="4"/>
  <c r="E50" i="4"/>
  <c r="E47" i="4"/>
  <c r="E49" i="4"/>
  <c r="H15" i="5"/>
  <c r="F12" i="6"/>
  <c r="G12" i="6" s="1"/>
  <c r="B28" i="4"/>
  <c r="F29" i="4"/>
  <c r="E7" i="11" l="1"/>
  <c r="C13" i="2"/>
  <c r="F32" i="2"/>
  <c r="B27" i="2" s="1"/>
  <c r="C3" i="17" s="1"/>
  <c r="F3" i="17" s="1"/>
  <c r="H3" i="17"/>
  <c r="C27" i="2"/>
  <c r="D28" i="2"/>
  <c r="A1" i="2"/>
  <c r="A29" i="2" s="1"/>
  <c r="D16" i="7" s="1"/>
  <c r="C6" i="4"/>
  <c r="C28" i="2"/>
  <c r="F8" i="6"/>
  <c r="G8" i="6" s="1"/>
  <c r="B7" i="10"/>
  <c r="B3" i="10" s="1"/>
  <c r="H4" i="3"/>
  <c r="H3" i="3"/>
  <c r="H6" i="3"/>
  <c r="I6" i="3" s="1"/>
  <c r="G11" i="14"/>
  <c r="A8" i="14"/>
  <c r="A9" i="14" s="1"/>
  <c r="I4" i="1"/>
  <c r="G17" i="1" s="1"/>
  <c r="B19" i="7" s="1"/>
  <c r="A10" i="1"/>
  <c r="E60" i="4"/>
  <c r="B59" i="4"/>
  <c r="E84" i="4"/>
  <c r="B83" i="4"/>
  <c r="D7" i="10"/>
  <c r="I23" i="2"/>
  <c r="F9" i="6" s="1"/>
  <c r="G9" i="6" s="1"/>
  <c r="K12" i="11"/>
  <c r="F30" i="4"/>
  <c r="B29" i="4"/>
  <c r="I14" i="2"/>
  <c r="F13" i="6" s="1"/>
  <c r="G13" i="6" s="1"/>
  <c r="I12" i="6" s="1"/>
  <c r="J12" i="6" s="1"/>
  <c r="C4" i="5"/>
  <c r="B16" i="5" s="1"/>
  <c r="D21" i="2" l="1"/>
  <c r="D21" i="11" s="1"/>
  <c r="E35" i="2"/>
  <c r="A39" i="2" s="1"/>
  <c r="G20" i="2"/>
  <c r="H12" i="2"/>
  <c r="A9" i="2"/>
  <c r="I11" i="2"/>
  <c r="C38" i="2"/>
  <c r="D37" i="2" s="1"/>
  <c r="G11" i="2"/>
  <c r="I17" i="1"/>
  <c r="B20" i="7" s="1"/>
  <c r="I8" i="6"/>
  <c r="J8" i="6" s="1"/>
  <c r="F20" i="2"/>
  <c r="D10" i="2"/>
  <c r="D19" i="2" s="1"/>
  <c r="M29" i="2"/>
  <c r="D20" i="2"/>
  <c r="I37" i="2"/>
  <c r="E11" i="2"/>
  <c r="A35" i="10" s="1"/>
  <c r="B2" i="10" s="1"/>
  <c r="K17" i="2"/>
  <c r="H21" i="2"/>
  <c r="I21" i="2"/>
  <c r="I32" i="2" s="1"/>
  <c r="J32" i="2" s="1"/>
  <c r="M28" i="2"/>
  <c r="F11" i="2"/>
  <c r="F26" i="2" s="1"/>
  <c r="I36" i="2"/>
  <c r="I12" i="2"/>
  <c r="I17" i="2" s="1"/>
  <c r="J17" i="2" s="1"/>
  <c r="D11" i="2"/>
  <c r="D26" i="2" s="1"/>
  <c r="I20" i="2"/>
  <c r="E20" i="2"/>
  <c r="D12" i="2"/>
  <c r="A16" i="2" s="1"/>
  <c r="B38" i="2"/>
  <c r="D3" i="17"/>
  <c r="F6" i="17" s="1"/>
  <c r="B37" i="2"/>
  <c r="C36" i="2" s="1"/>
  <c r="B8" i="10"/>
  <c r="B4" i="10" s="1"/>
  <c r="F17" i="1"/>
  <c r="A15" i="14"/>
  <c r="A14" i="14" s="1"/>
  <c r="G13" i="14"/>
  <c r="F13" i="14" s="1"/>
  <c r="F11" i="14"/>
  <c r="G12" i="14"/>
  <c r="G15" i="14"/>
  <c r="I23" i="1"/>
  <c r="I24" i="1"/>
  <c r="A2" i="14"/>
  <c r="A3" i="14" s="1"/>
  <c r="A6" i="14"/>
  <c r="A7" i="14" s="1"/>
  <c r="I2" i="1"/>
  <c r="F6" i="1"/>
  <c r="F3" i="1"/>
  <c r="F2" i="1"/>
  <c r="I3" i="1"/>
  <c r="B2" i="14"/>
  <c r="A25" i="1"/>
  <c r="A24" i="1"/>
  <c r="B1" i="14"/>
  <c r="A19" i="1"/>
  <c r="F7" i="1"/>
  <c r="A49" i="1" s="1"/>
  <c r="B30" i="4"/>
  <c r="F31" i="4"/>
  <c r="E61" i="4"/>
  <c r="B60" i="4"/>
  <c r="B17" i="5"/>
  <c r="G5" i="5"/>
  <c r="C5" i="5" s="1"/>
  <c r="C6" i="5" s="1"/>
  <c r="D8" i="10"/>
  <c r="E7" i="10"/>
  <c r="G7" i="10" s="1"/>
  <c r="D3" i="10"/>
  <c r="E85" i="4"/>
  <c r="B84" i="4"/>
  <c r="F21" i="2" l="1"/>
  <c r="G20" i="11" s="1"/>
  <c r="A31" i="10"/>
  <c r="A24" i="2"/>
  <c r="G14" i="7" s="1"/>
  <c r="A22" i="2"/>
  <c r="D13" i="7" s="1"/>
  <c r="C13" i="4"/>
  <c r="H6" i="17"/>
  <c r="I6" i="17" s="1"/>
  <c r="E19" i="7" s="1"/>
  <c r="I7" i="17"/>
  <c r="H26" i="2"/>
  <c r="H27" i="2" s="1"/>
  <c r="I22" i="2" s="1"/>
  <c r="E26" i="2"/>
  <c r="A14" i="2"/>
  <c r="B9" i="10"/>
  <c r="B10" i="10" s="1"/>
  <c r="H13" i="2"/>
  <c r="H17" i="2" s="1"/>
  <c r="I13" i="2" s="1"/>
  <c r="F12" i="2"/>
  <c r="E12" i="2" s="1"/>
  <c r="A15" i="2" s="1"/>
  <c r="B4" i="14"/>
  <c r="B3" i="14" s="1"/>
  <c r="G3" i="17"/>
  <c r="J3" i="17" s="1"/>
  <c r="L3" i="17"/>
  <c r="D36" i="2"/>
  <c r="C10" i="4"/>
  <c r="H17" i="1"/>
  <c r="C19" i="7" s="1"/>
  <c r="F27" i="2"/>
  <c r="B39" i="2" s="1"/>
  <c r="F15" i="14"/>
  <c r="J7" i="10"/>
  <c r="F7" i="10" s="1"/>
  <c r="G14" i="14"/>
  <c r="F14" i="14" s="1"/>
  <c r="F12" i="14"/>
  <c r="G3" i="1"/>
  <c r="G13" i="1" s="1"/>
  <c r="F11" i="1"/>
  <c r="A16" i="7" s="1"/>
  <c r="F9" i="1"/>
  <c r="A13" i="7" s="1"/>
  <c r="F10" i="1"/>
  <c r="A14" i="7" s="1"/>
  <c r="I10" i="1"/>
  <c r="F12" i="1"/>
  <c r="A17" i="7" s="1"/>
  <c r="A48" i="1"/>
  <c r="G7" i="1"/>
  <c r="G15" i="1" s="1"/>
  <c r="I9" i="1"/>
  <c r="J3" i="1"/>
  <c r="J13" i="1" s="1"/>
  <c r="B61" i="4"/>
  <c r="E62" i="4"/>
  <c r="E3" i="10"/>
  <c r="G3" i="10" s="1"/>
  <c r="B31" i="4"/>
  <c r="F32" i="4"/>
  <c r="D4" i="10"/>
  <c r="E8" i="10"/>
  <c r="G8" i="10" s="1"/>
  <c r="D9" i="10"/>
  <c r="B85" i="4"/>
  <c r="E86" i="4"/>
  <c r="E21" i="2"/>
  <c r="K28" i="11"/>
  <c r="B25" i="5"/>
  <c r="B24" i="5" s="1"/>
  <c r="T36" i="11"/>
  <c r="A30" i="10" l="1"/>
  <c r="O35" i="11"/>
  <c r="A23" i="2"/>
  <c r="D14" i="7" s="1"/>
  <c r="C17" i="11"/>
  <c r="D17" i="2"/>
  <c r="E17" i="2" s="1"/>
  <c r="I8" i="2"/>
  <c r="B5" i="10"/>
  <c r="A6" i="17"/>
  <c r="C6" i="17" s="1"/>
  <c r="D6" i="17" s="1"/>
  <c r="H8" i="2"/>
  <c r="H7" i="10"/>
  <c r="B62" i="10" s="1"/>
  <c r="D62" i="10" s="1"/>
  <c r="D53" i="10" s="1"/>
  <c r="N43" i="2"/>
  <c r="M50" i="2" s="1"/>
  <c r="L53" i="2" s="1"/>
  <c r="E36" i="2"/>
  <c r="N35" i="2"/>
  <c r="E27" i="2"/>
  <c r="J8" i="10"/>
  <c r="F8" i="10" s="1"/>
  <c r="B6" i="10"/>
  <c r="B11" i="10"/>
  <c r="D32" i="2"/>
  <c r="E32" i="2" s="1"/>
  <c r="M3" i="2" s="1"/>
  <c r="L3" i="2" s="1"/>
  <c r="E4" i="10"/>
  <c r="G4" i="10" s="1"/>
  <c r="B86" i="4"/>
  <c r="E87" i="4"/>
  <c r="E63" i="4"/>
  <c r="B62" i="4"/>
  <c r="F33" i="4"/>
  <c r="B32" i="4"/>
  <c r="J3" i="10"/>
  <c r="E9" i="10"/>
  <c r="G9" i="10" s="1"/>
  <c r="D5" i="10"/>
  <c r="D10" i="10"/>
  <c r="B6" i="17" l="1"/>
  <c r="E6" i="17" s="1"/>
  <c r="D19" i="7" s="1"/>
  <c r="H14" i="2"/>
  <c r="H15" i="2" s="1"/>
  <c r="I7" i="10"/>
  <c r="E60" i="10" s="1"/>
  <c r="E55" i="10" s="1"/>
  <c r="A53" i="10"/>
  <c r="C39" i="2"/>
  <c r="N36" i="2" s="1"/>
  <c r="N40" i="2" s="1"/>
  <c r="A30" i="2"/>
  <c r="D17" i="7" s="1"/>
  <c r="D27" i="2"/>
  <c r="A31" i="2" s="1"/>
  <c r="G17" i="7" s="1"/>
  <c r="J4" i="10"/>
  <c r="F4" i="10" s="1"/>
  <c r="J9" i="10"/>
  <c r="F9" i="10" s="1"/>
  <c r="H8" i="10"/>
  <c r="B63" i="10" s="1"/>
  <c r="A52" i="10" s="1"/>
  <c r="K36" i="11"/>
  <c r="B87" i="4"/>
  <c r="E88" i="4"/>
  <c r="B33" i="4"/>
  <c r="F34" i="4"/>
  <c r="E10" i="10"/>
  <c r="G10" i="10" s="1"/>
  <c r="D11" i="10"/>
  <c r="D6" i="10"/>
  <c r="B12" i="10"/>
  <c r="F30" i="11"/>
  <c r="I35" i="11"/>
  <c r="F32" i="11"/>
  <c r="I33" i="11" s="1"/>
  <c r="I34" i="11"/>
  <c r="E5" i="10"/>
  <c r="G5" i="10" s="1"/>
  <c r="E64" i="4"/>
  <c r="B63" i="4"/>
  <c r="F3" i="10"/>
  <c r="I3" i="10"/>
  <c r="H3" i="10"/>
  <c r="B58" i="10" s="1"/>
  <c r="I8" i="10" l="1"/>
  <c r="E61" i="10" s="1"/>
  <c r="E54" i="10" s="1"/>
  <c r="M52" i="2"/>
  <c r="N52" i="2" s="1"/>
  <c r="L56" i="2" s="1"/>
  <c r="L58" i="2" s="1"/>
  <c r="M58" i="2" s="1"/>
  <c r="G40" i="2" s="1"/>
  <c r="E37" i="2"/>
  <c r="H4" i="10"/>
  <c r="B59" i="10" s="1"/>
  <c r="A56" i="10" s="1"/>
  <c r="D63" i="10"/>
  <c r="D52" i="10" s="1"/>
  <c r="H9" i="10"/>
  <c r="B64" i="10" s="1"/>
  <c r="D64" i="10" s="1"/>
  <c r="D51" i="10" s="1"/>
  <c r="J10" i="10"/>
  <c r="F10" i="10" s="1"/>
  <c r="H10" i="10" s="1"/>
  <c r="J5" i="10"/>
  <c r="B13" i="10"/>
  <c r="B88" i="4"/>
  <c r="E89" i="4"/>
  <c r="B64" i="4"/>
  <c r="E65" i="4"/>
  <c r="E11" i="10"/>
  <c r="G11" i="10" s="1"/>
  <c r="D12" i="10"/>
  <c r="E6" i="10"/>
  <c r="G6" i="10" s="1"/>
  <c r="D58" i="10"/>
  <c r="D57" i="10" s="1"/>
  <c r="A57" i="10"/>
  <c r="B34" i="4"/>
  <c r="F35" i="4"/>
  <c r="I4" i="10" l="1"/>
  <c r="G39" i="2"/>
  <c r="D59" i="10"/>
  <c r="D56" i="10" s="1"/>
  <c r="N58" i="2"/>
  <c r="I9" i="10"/>
  <c r="E62" i="10" s="1"/>
  <c r="E53" i="10" s="1"/>
  <c r="B65" i="10"/>
  <c r="I10" i="10"/>
  <c r="E63" i="10" s="1"/>
  <c r="E52" i="10" s="1"/>
  <c r="F5" i="10"/>
  <c r="H5" i="10" s="1"/>
  <c r="B60" i="10" s="1"/>
  <c r="A55" i="10" s="1"/>
  <c r="J11" i="10"/>
  <c r="F11" i="10" s="1"/>
  <c r="E12" i="10"/>
  <c r="G12" i="10" s="1"/>
  <c r="D13" i="10"/>
  <c r="B65" i="4"/>
  <c r="E66" i="4"/>
  <c r="B89" i="4"/>
  <c r="E90" i="4"/>
  <c r="B35" i="4"/>
  <c r="F36" i="4"/>
  <c r="J6" i="10"/>
  <c r="B14" i="10"/>
  <c r="I5" i="10" l="1"/>
  <c r="E58" i="10" s="1"/>
  <c r="E57" i="10" s="1"/>
  <c r="H11" i="10"/>
  <c r="B66" i="10" s="1"/>
  <c r="D66" i="10" s="1"/>
  <c r="D49" i="10" s="1"/>
  <c r="D65" i="10"/>
  <c r="A50" i="10"/>
  <c r="A51" i="10"/>
  <c r="D60" i="10"/>
  <c r="D55" i="10" s="1"/>
  <c r="D14" i="10"/>
  <c r="E13" i="10"/>
  <c r="G13" i="10" s="1"/>
  <c r="E67" i="4"/>
  <c r="B66" i="4"/>
  <c r="E91" i="4"/>
  <c r="B90" i="4"/>
  <c r="J12" i="10"/>
  <c r="B15" i="10"/>
  <c r="F6" i="10"/>
  <c r="H6" i="10" s="1"/>
  <c r="B61" i="10" s="1"/>
  <c r="B36" i="4"/>
  <c r="F37" i="4"/>
  <c r="A49" i="10" l="1"/>
  <c r="I6" i="10"/>
  <c r="E59" i="10" s="1"/>
  <c r="E56" i="10" s="1"/>
  <c r="D50" i="10"/>
  <c r="I11" i="10"/>
  <c r="E64" i="10" s="1"/>
  <c r="E51" i="10" s="1"/>
  <c r="J13" i="10"/>
  <c r="F38" i="4"/>
  <c r="B37" i="4"/>
  <c r="F12" i="10"/>
  <c r="H12" i="10" s="1"/>
  <c r="B91" i="4"/>
  <c r="E92" i="4"/>
  <c r="B16" i="10"/>
  <c r="E68" i="4"/>
  <c r="B67" i="4"/>
  <c r="A54" i="10"/>
  <c r="D61" i="10"/>
  <c r="D54" i="10" s="1"/>
  <c r="E14" i="10"/>
  <c r="G14" i="10" s="1"/>
  <c r="D15" i="10"/>
  <c r="B67" i="10" l="1"/>
  <c r="I12" i="10"/>
  <c r="E65" i="10" s="1"/>
  <c r="E50" i="10" s="1"/>
  <c r="F13" i="10"/>
  <c r="H13" i="10" s="1"/>
  <c r="B38" i="4"/>
  <c r="F39" i="4"/>
  <c r="D16" i="10"/>
  <c r="E15" i="10"/>
  <c r="G15" i="10" s="1"/>
  <c r="B17" i="10"/>
  <c r="B68" i="4"/>
  <c r="E69" i="4"/>
  <c r="J14" i="10"/>
  <c r="B92" i="4"/>
  <c r="E93" i="4"/>
  <c r="D67" i="10" l="1"/>
  <c r="D48" i="10" s="1"/>
  <c r="A48" i="10"/>
  <c r="B68" i="10"/>
  <c r="D68" i="10" s="1"/>
  <c r="D47" i="10" s="1"/>
  <c r="I13" i="10"/>
  <c r="E66" i="10" s="1"/>
  <c r="E49" i="10" s="1"/>
  <c r="J15" i="10"/>
  <c r="F15" i="10" s="1"/>
  <c r="B93" i="4"/>
  <c r="E94" i="4"/>
  <c r="F40" i="4"/>
  <c r="B39" i="4"/>
  <c r="E70" i="4"/>
  <c r="B69" i="4"/>
  <c r="F14" i="10"/>
  <c r="H14" i="10" s="1"/>
  <c r="D17" i="10"/>
  <c r="E16" i="10"/>
  <c r="G16" i="10" s="1"/>
  <c r="B18" i="10"/>
  <c r="A47" i="10" l="1"/>
  <c r="B69" i="10"/>
  <c r="A46" i="10" s="1"/>
  <c r="I14" i="10"/>
  <c r="E67" i="10" s="1"/>
  <c r="E48" i="10" s="1"/>
  <c r="J16" i="10"/>
  <c r="F16" i="10" s="1"/>
  <c r="H16" i="10" s="1"/>
  <c r="B71" i="10" s="1"/>
  <c r="H15" i="10"/>
  <c r="B70" i="10" s="1"/>
  <c r="D18" i="10"/>
  <c r="E17" i="10"/>
  <c r="G17" i="10" s="1"/>
  <c r="B40" i="4"/>
  <c r="F41" i="4"/>
  <c r="E95" i="4"/>
  <c r="B94" i="4"/>
  <c r="B19" i="10"/>
  <c r="B70" i="4"/>
  <c r="E71" i="4"/>
  <c r="D69" i="10" l="1"/>
  <c r="D46" i="10" s="1"/>
  <c r="I16" i="10"/>
  <c r="E69" i="10" s="1"/>
  <c r="E46" i="10" s="1"/>
  <c r="I15" i="10"/>
  <c r="E68" i="10" s="1"/>
  <c r="E47" i="10" s="1"/>
  <c r="J17" i="10"/>
  <c r="D70" i="10"/>
  <c r="D45" i="10" s="1"/>
  <c r="A45" i="10"/>
  <c r="D71" i="10"/>
  <c r="D44" i="10" s="1"/>
  <c r="A44" i="10"/>
  <c r="E72" i="4"/>
  <c r="B71" i="4"/>
  <c r="E18" i="10"/>
  <c r="G18" i="10" s="1"/>
  <c r="D19" i="10"/>
  <c r="E96" i="4"/>
  <c r="B95" i="4"/>
  <c r="B20" i="10"/>
  <c r="F42" i="4"/>
  <c r="B41" i="4"/>
  <c r="J18" i="10" l="1"/>
  <c r="F18" i="10" s="1"/>
  <c r="F17" i="10"/>
  <c r="H17" i="10" s="1"/>
  <c r="B72" i="10" s="1"/>
  <c r="B42" i="4"/>
  <c r="F46" i="4"/>
  <c r="F43" i="4"/>
  <c r="F44" i="4" s="1"/>
  <c r="B96" i="4"/>
  <c r="E97" i="4"/>
  <c r="B72" i="4"/>
  <c r="E73" i="4"/>
  <c r="D20" i="10"/>
  <c r="E19" i="10"/>
  <c r="G19" i="10" s="1"/>
  <c r="B21" i="10"/>
  <c r="H18" i="10" l="1"/>
  <c r="B73" i="10" s="1"/>
  <c r="D73" i="10" s="1"/>
  <c r="D42" i="10" s="1"/>
  <c r="J19" i="10"/>
  <c r="I17" i="10"/>
  <c r="E70" i="10" s="1"/>
  <c r="E45" i="10" s="1"/>
  <c r="D72" i="10"/>
  <c r="D43" i="10" s="1"/>
  <c r="A43" i="10"/>
  <c r="D21" i="10"/>
  <c r="E20" i="10"/>
  <c r="G20" i="10" s="1"/>
  <c r="F50" i="4"/>
  <c r="B46" i="4"/>
  <c r="F49" i="4"/>
  <c r="F47" i="4"/>
  <c r="B47" i="4" s="1"/>
  <c r="B97" i="4"/>
  <c r="E98" i="4"/>
  <c r="B73" i="4"/>
  <c r="E74" i="4"/>
  <c r="B22" i="10"/>
  <c r="A42" i="10" l="1"/>
  <c r="I18" i="10"/>
  <c r="E71" i="10" s="1"/>
  <c r="E44" i="10" s="1"/>
  <c r="F19" i="10"/>
  <c r="H19" i="10" s="1"/>
  <c r="B23" i="10"/>
  <c r="B98" i="4"/>
  <c r="E99" i="4"/>
  <c r="J20" i="10"/>
  <c r="D22" i="10"/>
  <c r="E21" i="10"/>
  <c r="G21" i="10" s="1"/>
  <c r="E75" i="4"/>
  <c r="B74" i="4"/>
  <c r="B74" i="10" l="1"/>
  <c r="I19" i="10"/>
  <c r="E72" i="10" s="1"/>
  <c r="E43" i="10" s="1"/>
  <c r="E76" i="4"/>
  <c r="B75" i="4"/>
  <c r="J21" i="10"/>
  <c r="E100" i="4"/>
  <c r="B99" i="4"/>
  <c r="D23" i="10"/>
  <c r="E22" i="10"/>
  <c r="G22" i="10" s="1"/>
  <c r="F20" i="10"/>
  <c r="H20" i="10" s="1"/>
  <c r="B24" i="10"/>
  <c r="A41" i="10" l="1"/>
  <c r="D74" i="10"/>
  <c r="D41" i="10" s="1"/>
  <c r="J22" i="10"/>
  <c r="F22" i="10" s="1"/>
  <c r="H22" i="10" s="1"/>
  <c r="B75" i="10"/>
  <c r="I20" i="10"/>
  <c r="E73" i="10" s="1"/>
  <c r="E42" i="10" s="1"/>
  <c r="D24" i="10"/>
  <c r="E23" i="10"/>
  <c r="G23" i="10" s="1"/>
  <c r="F21" i="10"/>
  <c r="H21" i="10" s="1"/>
  <c r="B100" i="4"/>
  <c r="E101" i="4"/>
  <c r="B101" i="4" s="1"/>
  <c r="E77" i="4"/>
  <c r="B77" i="4" s="1"/>
  <c r="B76" i="4"/>
  <c r="J23" i="10" l="1"/>
  <c r="F23" i="10" s="1"/>
  <c r="H23" i="10" s="1"/>
  <c r="B76" i="10"/>
  <c r="I21" i="10"/>
  <c r="E74" i="10" s="1"/>
  <c r="E41" i="10" s="1"/>
  <c r="B77" i="10"/>
  <c r="I22" i="10"/>
  <c r="E75" i="10" s="1"/>
  <c r="E40" i="10" s="1"/>
  <c r="E24" i="10"/>
  <c r="G24" i="10" s="1"/>
  <c r="D75" i="10"/>
  <c r="D40" i="10" s="1"/>
  <c r="A40" i="10"/>
  <c r="B78" i="10" l="1"/>
  <c r="I23" i="10"/>
  <c r="E76" i="10" s="1"/>
  <c r="E39" i="10" s="1"/>
  <c r="D76" i="10"/>
  <c r="D39" i="10" s="1"/>
  <c r="A39" i="10"/>
  <c r="D77" i="10"/>
  <c r="D38" i="10" s="1"/>
  <c r="A38" i="10"/>
  <c r="J24" i="10"/>
  <c r="F24" i="10" l="1"/>
  <c r="H24" i="10" s="1"/>
  <c r="D78" i="10"/>
  <c r="D37" i="10" s="1"/>
  <c r="A37" i="10"/>
  <c r="B79" i="10" l="1"/>
  <c r="I24" i="10"/>
  <c r="E77" i="10" s="1"/>
  <c r="E38" i="10" s="1"/>
  <c r="A36" i="10" l="1"/>
  <c r="D79" i="10"/>
  <c r="D36" i="10" s="1"/>
</calcChain>
</file>

<file path=xl/sharedStrings.xml><?xml version="1.0" encoding="utf-8"?>
<sst xmlns="http://schemas.openxmlformats.org/spreadsheetml/2006/main" count="355" uniqueCount="287">
  <si>
    <t>r#</t>
  </si>
  <si>
    <t>t critical</t>
  </si>
  <si>
    <t>observed t</t>
  </si>
  <si>
    <t>r (x,y)</t>
  </si>
  <si>
    <t>replacement correlation</t>
  </si>
  <si>
    <t>User enters values in yellow boxes</t>
  </si>
  <si>
    <t>n</t>
  </si>
  <si>
    <t>Robustness to % bias is how much bias there must be such that an unbiased estimated would not be sig</t>
  </si>
  <si>
    <t>Indices caluclated in pink</t>
  </si>
  <si>
    <t>User can replace threshold value, r#, in green.  Default is defined by statistical significance</t>
  </si>
  <si>
    <t>Sample rate</t>
  </si>
  <si>
    <t>sample replaced</t>
  </si>
  <si>
    <t>sample added</t>
  </si>
  <si>
    <t xml:space="preserve">Replacement correlation is value in replacement sample to make t ratio from combined sample not significant assuming final data set </t>
  </si>
  <si>
    <t>sample replaced assumes portion of original sample was replaced</t>
  </si>
  <si>
    <t>sample added assumes missing cases as a result of attrition are added</t>
  </si>
  <si>
    <t>df</t>
  </si>
  <si>
    <t>correlation between treatment and outcome</t>
  </si>
  <si>
    <t>correlation between covariate and outcome</t>
  </si>
  <si>
    <t>effective n</t>
  </si>
  <si>
    <t>impact of covariate</t>
  </si>
  <si>
    <t>sample to add to neauralize</t>
  </si>
  <si>
    <t>as % of combined sample</t>
  </si>
  <si>
    <t>added sample to neutralize</t>
  </si>
  <si>
    <t>number of covars</t>
  </si>
  <si>
    <t>rxc</t>
  </si>
  <si>
    <t>ryc</t>
  </si>
  <si>
    <t>partial</t>
  </si>
  <si>
    <t>Threshold</t>
  </si>
  <si>
    <t>k</t>
  </si>
  <si>
    <t>regression coeff</t>
  </si>
  <si>
    <t>observed</t>
  </si>
  <si>
    <t>unobserved</t>
  </si>
  <si>
    <t>std(x)</t>
  </si>
  <si>
    <t>std(y)</t>
  </si>
  <si>
    <t>number attrited</t>
  </si>
  <si>
    <t>treatment</t>
  </si>
  <si>
    <t>control</t>
  </si>
  <si>
    <t>r replacement</t>
  </si>
  <si>
    <t>regression coefficient</t>
  </si>
  <si>
    <t>Based on formula (A13) in tech appendix 2 of *Frank, K. A. and Min, K. 2007. Indices of Robustness for Sample Representation. Sociological Methodology.  Vol 37, 349-392. * co first authors.</t>
  </si>
  <si>
    <t>https://www.msu.edu/~kenfrank/research.htm#causal</t>
  </si>
  <si>
    <t>estimated effect (d)</t>
  </si>
  <si>
    <t>standard error</t>
  </si>
  <si>
    <t>User enters values in yellow</t>
  </si>
  <si>
    <t>estimate</t>
  </si>
  <si>
    <t>std error</t>
  </si>
  <si>
    <t># of covar</t>
  </si>
  <si>
    <t>predictor (x)</t>
  </si>
  <si>
    <t>predictor (x) is predictor for which inference is made; t critical is critical value for statistical significance</t>
  </si>
  <si>
    <t>estimate is estimated effect of predictor of interest (x) on outcome (y); std error is standard error of estimate; n is sample size</t>
  </si>
  <si>
    <r>
      <t>r</t>
    </r>
    <r>
      <rPr>
        <vertAlign val="superscript"/>
        <sz val="10"/>
        <rFont val="Arial"/>
        <family val="2"/>
      </rPr>
      <t>#</t>
    </r>
    <r>
      <rPr>
        <sz val="10"/>
        <rFont val="Arial"/>
        <family val="2"/>
      </rPr>
      <t xml:space="preserve"> is threshold for inference (default based on statistical significance); </t>
    </r>
  </si>
  <si>
    <t>observed t is estimate/(std error) for predictor; r(x,y) is observed correlation between predictor and outcome</t>
  </si>
  <si>
    <r>
      <t>R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(y,z) is multiple correlation of covariates </t>
    </r>
    <r>
      <rPr>
        <b/>
        <sz val="10"/>
        <rFont val="Arial"/>
        <family val="2"/>
      </rPr>
      <t>z</t>
    </r>
    <r>
      <rPr>
        <sz val="10"/>
        <rFont val="Arial"/>
        <family val="2"/>
      </rPr>
      <t xml:space="preserve"> and outcome (y); R2 (x,z) is multiple correlation of covariates z and predictor of interest (x)</t>
    </r>
  </si>
  <si>
    <t xml:space="preserve">ITCV is the impact threshold for a confoundng variable.  If impact of omitted variable  &gt; ITCV, then inference is invalid </t>
  </si>
  <si>
    <t xml:space="preserve">  assumes  impact is maximized (see Frank, 2000)</t>
  </si>
  <si>
    <t>Index for External Validity</t>
  </si>
  <si>
    <t xml:space="preserve">  where Impact=r(x,confounding variable) x r(y,confounding variable)</t>
  </si>
  <si>
    <t xml:space="preserve">  r(x,cv) and r(y,cv) indicate correlations between confounding variable (cv) and x, and between cv and y to invalidate inference</t>
  </si>
  <si>
    <t>% bias can also be interpreted as % of sample needed to be replaced with r(x,y)=0 to invalidate  inference</t>
  </si>
  <si>
    <t>r(x,y|z)</t>
  </si>
  <si>
    <t>Multivariate (with covariates)</t>
  </si>
  <si>
    <t>Baseline Information</t>
  </si>
  <si>
    <t>std(y) is the standard deviation of the outcome (y); std(x) is the standard deviation of the predictor of interest (x)</t>
  </si>
  <si>
    <t>Replacement correlation is value in 50% replacement sample to make estimate fall below threshold</t>
  </si>
  <si>
    <t>assumed value (user can change)</t>
  </si>
  <si>
    <t>Bivariate (without covariates)</t>
  </si>
  <si>
    <t>User can replace calculated values</t>
  </si>
  <si>
    <t>verification level</t>
  </si>
  <si>
    <t>calculated values in pink</t>
  </si>
  <si>
    <t>d</t>
  </si>
  <si>
    <t>verification</t>
  </si>
  <si>
    <t>Robustness Indices</t>
  </si>
  <si>
    <t>user may change values in green (entered value is based on statistical significance)</t>
  </si>
  <si>
    <t>Index for Internal Validity</t>
  </si>
  <si>
    <t>null hypothesis</t>
  </si>
  <si>
    <t>verification: compare with E3</t>
  </si>
  <si>
    <t>predictor</t>
  </si>
  <si>
    <t>% bias to invalidate</t>
  </si>
  <si>
    <t>effective n is the size of the randomized experiment with impacts as in observed data</t>
  </si>
  <si>
    <t>Alternative Threshold</t>
  </si>
  <si>
    <t>totr2</t>
  </si>
  <si>
    <t>semi r xz|c</t>
  </si>
  <si>
    <t>sdx(z,cv)</t>
  </si>
  <si>
    <t>totr for x</t>
  </si>
  <si>
    <t>coeff</t>
  </si>
  <si>
    <t>se</t>
  </si>
  <si>
    <t>new t</t>
  </si>
  <si>
    <t>spartial r c,z|x</t>
  </si>
  <si>
    <t>semi partial yc:x,z</t>
  </si>
  <si>
    <t>spartialyc|z</t>
  </si>
  <si>
    <t>sdy|z,cv)</t>
  </si>
  <si>
    <t>publishable statements in blue</t>
  </si>
  <si>
    <t>ITCV bivariate</t>
  </si>
  <si>
    <t>itcv multivariate</t>
  </si>
  <si>
    <t>Internal Validity</t>
  </si>
  <si>
    <t>External validity</t>
  </si>
  <si>
    <t xml:space="preserve">   bivariate</t>
  </si>
  <si>
    <t xml:space="preserve">   multivariate</t>
  </si>
  <si>
    <t>alternative %</t>
  </si>
  <si>
    <t>recovered corr and reg</t>
  </si>
  <si>
    <t>Checks</t>
  </si>
  <si>
    <t>check against ITCV regression</t>
  </si>
  <si>
    <t>REQUESTED ANALYSES</t>
  </si>
  <si>
    <r>
      <t xml:space="preserve">Multivariate (with other Covariates, </t>
    </r>
    <r>
      <rPr>
        <b/>
        <sz val="14"/>
        <rFont val="Arial"/>
        <family val="2"/>
      </rPr>
      <t>z</t>
    </r>
    <r>
      <rPr>
        <sz val="14"/>
        <rFont val="Arial"/>
        <family val="2"/>
      </rPr>
      <t>), necessary only for unconditional correlations in row 27</t>
    </r>
  </si>
  <si>
    <t xml:space="preserve">   itcv multivariate (unconditional)</t>
  </si>
  <si>
    <t>Unconditional Correlations</t>
  </si>
  <si>
    <t>r</t>
  </si>
  <si>
    <t>verification: compare with I4</t>
  </si>
  <si>
    <t>correlation based</t>
  </si>
  <si>
    <t>Correlation Metric</t>
  </si>
  <si>
    <t>alt replacement d</t>
  </si>
  <si>
    <t>alternative replacement d</t>
  </si>
  <si>
    <t>Default Threshold</t>
  </si>
  <si>
    <t>reg</t>
  </si>
  <si>
    <t>pedictor</t>
  </si>
  <si>
    <t>to cite this spreadsheet: Frank, K.A. (2014).  KonFound-it!. Available at https://www.msu.edu/~kenfrank/research.htm#causal</t>
  </si>
  <si>
    <t>sample size</t>
  </si>
  <si>
    <r>
      <t>R</t>
    </r>
    <r>
      <rPr>
        <vertAlign val="superscript"/>
        <sz val="14"/>
        <rFont val="Arial"/>
        <family val="2"/>
      </rPr>
      <t>2</t>
    </r>
  </si>
  <si>
    <t>estimated effect</t>
  </si>
  <si>
    <r>
      <t>threshold (r</t>
    </r>
    <r>
      <rPr>
        <vertAlign val="superscript"/>
        <sz val="12"/>
        <rFont val="Arial"/>
        <family val="2"/>
      </rPr>
      <t>#</t>
    </r>
    <r>
      <rPr>
        <sz val="12"/>
        <rFont val="Arial"/>
        <family val="2"/>
      </rPr>
      <t>)</t>
    </r>
  </si>
  <si>
    <r>
      <t>R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(cv,</t>
    </r>
    <r>
      <rPr>
        <b/>
        <sz val="12"/>
        <rFont val="Arial"/>
        <family val="2"/>
      </rPr>
      <t>z)</t>
    </r>
  </si>
  <si>
    <r>
      <t>R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(y,</t>
    </r>
    <r>
      <rPr>
        <b/>
        <sz val="12"/>
        <rFont val="Arial"/>
        <family val="2"/>
      </rPr>
      <t>z</t>
    </r>
    <r>
      <rPr>
        <sz val="12"/>
        <rFont val="Arial"/>
        <family val="2"/>
      </rPr>
      <t>)</t>
    </r>
  </si>
  <si>
    <r>
      <t>threshold(d</t>
    </r>
    <r>
      <rPr>
        <vertAlign val="superscript"/>
        <sz val="12"/>
        <rFont val="Arial"/>
        <family val="2"/>
      </rPr>
      <t>#</t>
    </r>
    <r>
      <rPr>
        <sz val="12"/>
        <rFont val="Arial"/>
        <family val="2"/>
      </rPr>
      <t>)</t>
    </r>
  </si>
  <si>
    <r>
      <t>alt threshold(d</t>
    </r>
    <r>
      <rPr>
        <vertAlign val="superscript"/>
        <sz val="12"/>
        <rFont val="Arial"/>
        <family val="2"/>
      </rPr>
      <t>#)</t>
    </r>
  </si>
  <si>
    <r>
      <t>r</t>
    </r>
    <r>
      <rPr>
        <vertAlign val="superscript"/>
        <sz val="12"/>
        <rFont val="Arial"/>
        <family val="2"/>
      </rPr>
      <t>#</t>
    </r>
  </si>
  <si>
    <r>
      <t>R</t>
    </r>
    <r>
      <rPr>
        <vertAlign val="superscript"/>
        <sz val="12"/>
        <rFont val="Arial"/>
        <family val="2"/>
      </rPr>
      <t>2</t>
    </r>
  </si>
  <si>
    <t>num</t>
  </si>
  <si>
    <t>denom</t>
  </si>
  <si>
    <t>check</t>
  </si>
  <si>
    <t>piece</t>
  </si>
  <si>
    <r>
      <t>threshold r</t>
    </r>
    <r>
      <rPr>
        <vertAlign val="superscript"/>
        <sz val="10"/>
        <rFont val="Arial"/>
        <family val="2"/>
      </rPr>
      <t>#</t>
    </r>
  </si>
  <si>
    <t>r(x,cv)</t>
  </si>
  <si>
    <t>sqrt</t>
  </si>
  <si>
    <t>r(y,cv)</t>
  </si>
  <si>
    <t>impact</t>
  </si>
  <si>
    <r>
      <t>check against r</t>
    </r>
    <r>
      <rPr>
        <vertAlign val="superscript"/>
        <sz val="10"/>
        <rFont val="Arial"/>
        <family val="2"/>
      </rPr>
      <t>#</t>
    </r>
  </si>
  <si>
    <t>α (significance level)</t>
  </si>
  <si>
    <r>
      <t>R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is the % variance explained by the regression; # of covar is the number of covariates in the model (excluding the predictor of interest)</t>
    </r>
  </si>
  <si>
    <t>publishable statement:</t>
  </si>
  <si>
    <t>Optional: Only for Multivariate Impact Threshold (unconditional correlations)</t>
  </si>
  <si>
    <t># of covariates</t>
  </si>
  <si>
    <t>user enters values in yellow, threshold and effective n in pink</t>
  </si>
  <si>
    <t>correlation based publishable statement:</t>
  </si>
  <si>
    <t>cite this spreadsheet: Frank, K.A. (2014).  KonFound-it!. Available at https://www.msu.edu/~kenfrank/research.htm#causal</t>
  </si>
  <si>
    <t>Calculated Values</t>
  </si>
  <si>
    <t>assumes absoluate value of the estimated effect</t>
  </si>
  <si>
    <t>See details of your sensitivity analysis on other tabs</t>
  </si>
  <si>
    <t xml:space="preserve">  For a 1-tailed test, double the size of α in cell E4</t>
  </si>
  <si>
    <t>Replacement of Cases</t>
  </si>
  <si>
    <t>Correlation Based (linear models only)</t>
  </si>
  <si>
    <t>name of predictor of interest:</t>
  </si>
  <si>
    <t>*Frank, K. A. and Min, K. 2007. Indices of Robustness for Sample Representation. Sociological Methodology.  Vol 37, 349-392. * co first authors.</t>
  </si>
  <si>
    <t>Frank, K. 2000. "Impact of a Confounding Variable on the Inference of a Regression Coefficient." Sociological Methods and Research, 29(2), 147-194</t>
  </si>
  <si>
    <t>citation</t>
  </si>
  <si>
    <t>Interpret the Robustness of Causal Inferences.  Education, Evaluation and Policy Analysis.  Vol 35: 437-460.</t>
  </si>
  <si>
    <t>Frank, K.A., Maroulis, S., Duong, M., and Kelcey, B. 2013.  What would it take to Change an Inference?: Using Rubin’s Causal Model to   Interpret the Robustness of Causal Inferences.  Education, Evaluation and Policy Analysis.  Vol 35: 437-460.</t>
  </si>
  <si>
    <t xml:space="preserve">ITCV Calculations based on: </t>
  </si>
  <si>
    <t>Frank, K.A., Gary Sykes, Dorothea Anagnostopoulos, Marisa Cannata, Linda Chard, Ann Krause, Raven McCrory. 2008. Extended Influence: National Board Certified Teachers as Help Providers. Education, Evaluation, and Policy Analysis.  Vol 30(1): 3-30.</t>
  </si>
  <si>
    <t xml:space="preserve">to cite this spreadsheet:        Frank, K.A. (2014).  KonFound-it!©.     Available at </t>
  </si>
  <si>
    <r>
      <t xml:space="preserve">KonFound-it! </t>
    </r>
    <r>
      <rPr>
        <vertAlign val="superscript"/>
        <sz val="18"/>
        <color theme="3" tint="0.39994506668294322"/>
        <rFont val="Arial"/>
        <family val="2"/>
      </rPr>
      <t>©</t>
    </r>
    <r>
      <rPr>
        <sz val="18"/>
        <color theme="3" tint="0.39997558519241921"/>
        <rFont val="Arial"/>
        <family val="2"/>
      </rPr>
      <t>: BASICS</t>
    </r>
  </si>
  <si>
    <r>
      <t xml:space="preserve">KonFound-it! </t>
    </r>
    <r>
      <rPr>
        <vertAlign val="superscript"/>
        <sz val="20"/>
        <color rgb="FF538DD5"/>
        <rFont val="Arial"/>
        <family val="2"/>
      </rPr>
      <t>©</t>
    </r>
    <r>
      <rPr>
        <sz val="20"/>
        <color rgb="FF538DD5"/>
        <rFont val="Arial"/>
        <family val="2"/>
      </rPr>
      <t xml:space="preserve"> REPLACEMENT OF CASES</t>
    </r>
  </si>
  <si>
    <r>
      <t xml:space="preserve">KonFound-it! </t>
    </r>
    <r>
      <rPr>
        <vertAlign val="superscript"/>
        <sz val="18"/>
        <color rgb="FF538DD5"/>
        <rFont val="Arial"/>
        <family val="2"/>
      </rPr>
      <t>©</t>
    </r>
    <r>
      <rPr>
        <sz val="18"/>
        <color rgb="FF538DD5"/>
        <rFont val="Arial"/>
        <family val="2"/>
      </rPr>
      <t xml:space="preserve"> CORRELATION BASED IMPACT AND REPLACEMENT (LINEAR MODELS ONLY)</t>
    </r>
  </si>
  <si>
    <r>
      <t xml:space="preserve">KonFound-it! </t>
    </r>
    <r>
      <rPr>
        <vertAlign val="superscript"/>
        <sz val="26"/>
        <color rgb="FF538DD5"/>
        <rFont val="Arial"/>
        <family val="2"/>
      </rPr>
      <t>©</t>
    </r>
    <r>
      <rPr>
        <sz val="26"/>
        <color rgb="FF538DD5"/>
        <rFont val="Arial"/>
        <family val="2"/>
      </rPr>
      <t xml:space="preserve"> IMPACT CURVE</t>
    </r>
  </si>
  <si>
    <r>
      <t xml:space="preserve">KonFound-it! </t>
    </r>
    <r>
      <rPr>
        <vertAlign val="superscript"/>
        <sz val="18"/>
        <color rgb="FF538DD5"/>
        <rFont val="Arial"/>
        <family val="2"/>
      </rPr>
      <t>©</t>
    </r>
    <r>
      <rPr>
        <sz val="18"/>
        <color rgb="FF538DD5"/>
        <rFont val="Arial"/>
        <family val="2"/>
      </rPr>
      <t xml:space="preserve"> Robustness with respect to attrition: example taken from Frank and Min Sociological Methodology (2007)</t>
    </r>
  </si>
  <si>
    <r>
      <t xml:space="preserve">KonFound-it! </t>
    </r>
    <r>
      <rPr>
        <vertAlign val="superscript"/>
        <sz val="18"/>
        <rFont val="Arial"/>
        <family val="2"/>
      </rPr>
      <t>©</t>
    </r>
    <r>
      <rPr>
        <sz val="18"/>
        <rFont val="Arial"/>
        <family val="2"/>
      </rPr>
      <t xml:space="preserve"> Partial correlation</t>
    </r>
  </si>
  <si>
    <t>powerpoint with examples and calculations</t>
  </si>
  <si>
    <t>spreadsheet for calculating indices [KonFound-it!]</t>
  </si>
  <si>
    <t xml:space="preserve">      ↓ ↓ ↓ ↓ ↓ ↓ </t>
  </si>
  <si>
    <t>default t critical (2-tailed)</t>
  </si>
  <si>
    <t xml:space="preserve">The default sign of t critical is the same as the sign of the estimated effect.  </t>
  </si>
  <si>
    <r>
      <t>r</t>
    </r>
    <r>
      <rPr>
        <vertAlign val="subscript"/>
        <sz val="12"/>
        <rFont val="Cambria"/>
        <family val="1"/>
      </rPr>
      <t>cv∙y</t>
    </r>
    <r>
      <rPr>
        <sz val="12"/>
        <rFont val="Arial"/>
        <family val="2"/>
      </rPr>
      <t>=</t>
    </r>
  </si>
  <si>
    <r>
      <t>r</t>
    </r>
    <r>
      <rPr>
        <vertAlign val="subscript"/>
        <sz val="12"/>
        <rFont val="Arial"/>
        <family val="2"/>
      </rPr>
      <t>x</t>
    </r>
    <r>
      <rPr>
        <vertAlign val="subscript"/>
        <sz val="12"/>
        <rFont val="Calibri"/>
        <family val="2"/>
      </rPr>
      <t>∙</t>
    </r>
    <r>
      <rPr>
        <vertAlign val="subscript"/>
        <sz val="12"/>
        <rFont val="Arial"/>
        <family val="2"/>
      </rPr>
      <t>y|cv</t>
    </r>
    <r>
      <rPr>
        <sz val="12"/>
        <rFont val="Arial"/>
        <family val="2"/>
      </rPr>
      <t>=</t>
    </r>
  </si>
  <si>
    <t>(outcome)</t>
  </si>
  <si>
    <t>(omitted confounding variable)</t>
  </si>
  <si>
    <t>% missing</t>
  </si>
  <si>
    <t>denom2</t>
  </si>
  <si>
    <t>(assumed same as observed)</t>
  </si>
  <si>
    <r>
      <t xml:space="preserve">KonFound-it! </t>
    </r>
    <r>
      <rPr>
        <vertAlign val="superscript"/>
        <sz val="18"/>
        <rFont val="Arial"/>
        <family val="2"/>
      </rPr>
      <t>©</t>
    </r>
    <r>
      <rPr>
        <sz val="18"/>
        <rFont val="Arial"/>
        <family val="2"/>
      </rPr>
      <t xml:space="preserve"> Robustness with respect to Differential Attrition: UNPUBLISHED (BUT VERIFIED). </t>
    </r>
  </si>
  <si>
    <t>% in treatment</t>
  </si>
  <si>
    <t>Sample</t>
  </si>
  <si>
    <t>Correlation between treatment assignment and outcome in the unobserved data necessary to invalidate inference given differential attrition</t>
  </si>
  <si>
    <t>Regression coefficient for treatment in the unobserved data necessary to invalidate the inference given differential attrition</t>
  </si>
  <si>
    <t>quantities in pink are those necessary to invalidate the inference given differential attrition</t>
  </si>
  <si>
    <t>verification:</t>
  </si>
  <si>
    <t>values in blue boxes based are obtained from Basics tab, values can be replaced</t>
  </si>
  <si>
    <t>intermediate calculated values in green boxes, values can be modified</t>
  </si>
  <si>
    <t>mean in unobserved treatment group to invalidate the inference</t>
  </si>
  <si>
    <t>mean in unobserved control group to invalidate the inference</t>
  </si>
  <si>
    <t>enter values in yellow boxes</t>
  </si>
  <si>
    <t>Overall mean for outcome (including treatment and control)</t>
  </si>
  <si>
    <t>std(outcome)</t>
  </si>
  <si>
    <t>std(treatment)</t>
  </si>
  <si>
    <t>mean of outcome for unobserved assumed same as observed, user can modify</t>
  </si>
  <si>
    <t>Correlations</t>
  </si>
  <si>
    <t>Difference in means</t>
  </si>
  <si>
    <t>Attrition</t>
  </si>
  <si>
    <t>var</t>
  </si>
  <si>
    <t>z</t>
  </si>
  <si>
    <t>diffz</t>
  </si>
  <si>
    <t>p value</t>
  </si>
  <si>
    <t>p-value</t>
  </si>
  <si>
    <t>t squared</t>
  </si>
  <si>
    <t>sqrt wald</t>
  </si>
  <si>
    <t>Cohen and Cohen</t>
  </si>
  <si>
    <t>Wald</t>
  </si>
  <si>
    <t>chi squared</t>
  </si>
  <si>
    <t>Hausman</t>
  </si>
  <si>
    <t xml:space="preserve"> t (wooldridge page 290)</t>
  </si>
  <si>
    <t>chisquared</t>
  </si>
  <si>
    <t>Cohen and Cohen (1983, p. 54)</t>
  </si>
  <si>
    <r>
      <t>Cohen, J., &amp; Cohen, P. (1983). </t>
    </r>
    <r>
      <rPr>
        <i/>
        <sz val="9"/>
        <color rgb="FF000000"/>
        <rFont val="Verdana"/>
        <family val="2"/>
      </rPr>
      <t>Applied multiple regression/correlation analysis for the behavioral sciences</t>
    </r>
    <r>
      <rPr>
        <sz val="9"/>
        <color rgb="FF000000"/>
        <rFont val="Verdana"/>
        <family val="2"/>
      </rPr>
      <t>. Hillsdale, NJ: Erlbaum.</t>
    </r>
  </si>
  <si>
    <t>Wald, see http://www.stata.com/manuals13/rtest.pdf</t>
  </si>
  <si>
    <t>Wooldridge, J. Econometric Analysis of Cross Section and Panel Data, second edition. Cambridge, MA: MIT
Press, 2010.</t>
  </si>
  <si>
    <t>rxy</t>
  </si>
  <si>
    <t>rcvy</t>
  </si>
  <si>
    <t>QTEMOS</t>
  </si>
  <si>
    <t>example based on Foster, E. Michael, and Grace Y. Fang. "Alternative Methods for Handling Attrition An Illustration Using Data from the Fast Track Evaluation." Evaluation Review 28, no. 5 (2004): 434-464.</t>
  </si>
  <si>
    <t xml:space="preserve">examle from </t>
  </si>
  <si>
    <t xml:space="preserve">unstandardized </t>
  </si>
  <si>
    <t>from correlation  based tab: multivariate with covariates</t>
  </si>
  <si>
    <t>from correlation based tab: bivariate</t>
  </si>
  <si>
    <r>
      <t xml:space="preserve">KonFound-it! </t>
    </r>
    <r>
      <rPr>
        <vertAlign val="superscript"/>
        <sz val="18"/>
        <rFont val="Arial"/>
        <family val="2"/>
      </rPr>
      <t>©</t>
    </r>
    <r>
      <rPr>
        <sz val="18"/>
        <rFont val="Arial"/>
        <family val="2"/>
      </rPr>
      <t xml:space="preserve">  Testing Independent Regression Coefficients</t>
    </r>
  </si>
  <si>
    <t>rvy</t>
  </si>
  <si>
    <t>threshold</t>
  </si>
  <si>
    <t>observed value</t>
  </si>
  <si>
    <t>diagonal</t>
  </si>
  <si>
    <r>
      <t xml:space="preserve">KonFound-it! </t>
    </r>
    <r>
      <rPr>
        <vertAlign val="superscript"/>
        <sz val="18"/>
        <color rgb="FF538DD5"/>
        <rFont val="Arial"/>
        <family val="2"/>
      </rPr>
      <t>©</t>
    </r>
    <r>
      <rPr>
        <sz val="18"/>
        <color rgb="FF538DD5"/>
        <rFont val="Arial"/>
        <family val="2"/>
      </rPr>
      <t xml:space="preserve"> Sample Size of a Hypothetical Randomized Experiment: Unpublished, use at your own risk</t>
    </r>
  </si>
  <si>
    <t>from data in basics tab</t>
  </si>
  <si>
    <t>user can override values in yellow boxes</t>
  </si>
  <si>
    <t>The absolute value of estimated effect was used.</t>
  </si>
  <si>
    <t xml:space="preserve"> For an estimated effect less than zero,  r(x,cv) and r(y,cv) must have opposite signs.</t>
  </si>
  <si>
    <t>The inference would be invalid above the blue line</t>
  </si>
  <si>
    <t>Frank, K.A., Maroulis, S., Duong, M., and Kelcey, B. 2013.  </t>
  </si>
  <si>
    <t>What would it take to Change an Inference?: </t>
  </si>
  <si>
    <t>Using Rubin’s Causal Model to Interpret the Robustness of Causal Inferences.   </t>
  </si>
  <si>
    <t>Education, Evaluation and Policy Analysis.  Vol 35: 437-460.</t>
  </si>
  <si>
    <t>% Bias to Invalidate</t>
  </si>
  <si>
    <t>Specified Threshold</t>
  </si>
  <si>
    <t>Estimated Effect</t>
  </si>
  <si>
    <t>itcv</t>
  </si>
  <si>
    <t>observed r</t>
  </si>
  <si>
    <t>when estimate is at threshold both indices=0, they are equal to each other</t>
  </si>
  <si>
    <t>when r=1-r# they are equal</t>
  </si>
  <si>
    <t>when r &lt; .5, itcv is always smaller</t>
  </si>
  <si>
    <t>when r &gt; .5 you can have paradox where itcv above or below % bias</t>
  </si>
  <si>
    <t>pardox: when one study has corr &lt; .5 and the other has corr &gt; .5 then indices can be reversed, with ITCV &gt; % bias for large r and ITCV &lt; % bias for small R</t>
  </si>
  <si>
    <t>they cross when r=1-r#</t>
  </si>
  <si>
    <t>threshold for standardized difference</t>
  </si>
  <si>
    <t>sdy</t>
  </si>
  <si>
    <t>sdx</t>
  </si>
  <si>
    <t>sdy|x</t>
  </si>
  <si>
    <t>sdy combined</t>
  </si>
  <si>
    <t>% replaced se preserved</t>
  </si>
  <si>
    <t>sdy|unobserved</t>
  </si>
  <si>
    <t>preserving standard error</t>
  </si>
  <si>
    <t>conditional RIR (rxy|z)</t>
  </si>
  <si>
    <t>conditional on covariates</t>
  </si>
  <si>
    <t>% to replace</t>
  </si>
  <si>
    <t>R2</t>
  </si>
  <si>
    <t>R2xz</t>
  </si>
  <si>
    <t>R2yz</t>
  </si>
  <si>
    <t>sdx|z</t>
  </si>
  <si>
    <t>sdy|z</t>
  </si>
  <si>
    <t>R2 (x,z)</t>
  </si>
  <si>
    <t xml:space="preserve">Coefficient of proportionality </t>
  </si>
  <si>
    <t>adjusted threshold</t>
  </si>
  <si>
    <t>rxcv</t>
  </si>
  <si>
    <t>rxy|Z</t>
  </si>
  <si>
    <t>rxcv|z</t>
  </si>
  <si>
    <t>Max R2</t>
  </si>
  <si>
    <t>rycv|z</t>
  </si>
  <si>
    <t>Ryxcv|z</t>
  </si>
  <si>
    <t>rycv</t>
  </si>
  <si>
    <t>coeff of proportionality</t>
  </si>
  <si>
    <t>B baseline</t>
  </si>
  <si>
    <t>delta*</t>
  </si>
  <si>
    <t>sdy unobserved</t>
  </si>
  <si>
    <t>coefficient of proportionality</t>
  </si>
  <si>
    <t>from Basics tab</t>
  </si>
  <si>
    <t>entered here</t>
  </si>
  <si>
    <t xml:space="preserve">calculate no covariates </t>
  </si>
  <si>
    <t>manual</t>
  </si>
  <si>
    <t>see Frank et al., Quantifying Sensitivity to Selection on Unobservables: Refining Oster’s Coefficient of Proportionality</t>
  </si>
  <si>
    <t>oster's delta* (using baseline of no covariates)</t>
  </si>
  <si>
    <t>requires special inputs: see Coeff of proportionality page</t>
  </si>
  <si>
    <t>Enhanced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</si>
</sst>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;;;"/>
    <numFmt numFmtId="165" formatCode="0.00000"/>
    <numFmt numFmtId="166" formatCode="0.0000"/>
    <numFmt numFmtId="167" formatCode="0.0000000"/>
    <numFmt numFmtId="168" formatCode="0.000"/>
    <numFmt numFmtId="169" formatCode=";;"/>
  </numFmts>
  <fonts count="5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26"/>
      <name val="Arial"/>
      <family val="2"/>
    </font>
    <font>
      <vertAlign val="superscript"/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8"/>
      <color rgb="FFFF000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0"/>
      <color rgb="FF222222"/>
      <name val="Arial"/>
      <family val="2"/>
    </font>
    <font>
      <b/>
      <sz val="12"/>
      <color rgb="FFFF0000"/>
      <name val="Arial"/>
      <family val="2"/>
    </font>
    <font>
      <b/>
      <sz val="10"/>
      <color theme="4"/>
      <name val="Arial"/>
      <family val="2"/>
    </font>
    <font>
      <b/>
      <sz val="12"/>
      <color theme="4"/>
      <name val="Arial"/>
      <family val="2"/>
    </font>
    <font>
      <b/>
      <sz val="12"/>
      <color theme="3" tint="0.39997558519241921"/>
      <name val="Arial"/>
      <family val="2"/>
    </font>
    <font>
      <sz val="14"/>
      <color rgb="FFFF0000"/>
      <name val="Arial"/>
      <family val="2"/>
    </font>
    <font>
      <b/>
      <sz val="11"/>
      <color theme="4"/>
      <name val="Arial"/>
      <family val="2"/>
    </font>
    <font>
      <sz val="8"/>
      <color rgb="FF000000"/>
      <name val="Tahoma"/>
      <family val="2"/>
    </font>
    <font>
      <sz val="12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60"/>
      <name val="Arial"/>
      <family val="2"/>
    </font>
    <font>
      <vertAlign val="superscript"/>
      <sz val="14"/>
      <name val="Arial"/>
      <family val="2"/>
    </font>
    <font>
      <vertAlign val="superscript"/>
      <sz val="12"/>
      <name val="Arial"/>
      <family val="2"/>
    </font>
    <font>
      <sz val="12"/>
      <color rgb="FFFF0000"/>
      <name val="Arial"/>
      <family val="2"/>
    </font>
    <font>
      <sz val="12"/>
      <color rgb="FFFF99FF"/>
      <name val="Arial"/>
      <family val="2"/>
    </font>
    <font>
      <sz val="16"/>
      <color rgb="FF538DD5"/>
      <name val="Arial"/>
      <family val="2"/>
    </font>
    <font>
      <sz val="20"/>
      <color theme="1"/>
      <name val="Arial"/>
      <family val="2"/>
    </font>
    <font>
      <sz val="12"/>
      <color rgb="FF538DD5"/>
      <name val="Arial"/>
      <family val="2"/>
    </font>
    <font>
      <b/>
      <sz val="16"/>
      <color theme="3" tint="0.39997558519241921"/>
      <name val="Arial"/>
      <family val="2"/>
    </font>
    <font>
      <i/>
      <sz val="12"/>
      <name val="Arial"/>
      <family val="2"/>
    </font>
    <font>
      <b/>
      <sz val="16"/>
      <color theme="4"/>
      <name val="Arial"/>
      <family val="2"/>
    </font>
    <font>
      <sz val="18"/>
      <color theme="3" tint="0.39997558519241921"/>
      <name val="Arial"/>
      <family val="2"/>
    </font>
    <font>
      <sz val="20"/>
      <color rgb="FF538DD5"/>
      <name val="Arial"/>
      <family val="2"/>
    </font>
    <font>
      <sz val="18"/>
      <color rgb="FF538DD5"/>
      <name val="Arial"/>
      <family val="2"/>
    </font>
    <font>
      <sz val="26"/>
      <color rgb="FF538DD5"/>
      <name val="Arial"/>
      <family val="2"/>
    </font>
    <font>
      <sz val="10"/>
      <color theme="4"/>
      <name val="Arial"/>
      <family val="2"/>
    </font>
    <font>
      <sz val="12"/>
      <color theme="4"/>
      <name val="Arial"/>
      <family val="2"/>
    </font>
    <font>
      <sz val="36"/>
      <name val="Calibri"/>
      <family val="2"/>
    </font>
    <font>
      <u/>
      <sz val="10"/>
      <color theme="10"/>
      <name val="Arial"/>
      <family val="2"/>
    </font>
    <font>
      <sz val="12"/>
      <color rgb="FF0000FF"/>
      <name val="Arial"/>
      <family val="2"/>
    </font>
    <font>
      <vertAlign val="superscript"/>
      <sz val="18"/>
      <color theme="3" tint="0.39994506668294322"/>
      <name val="Arial"/>
      <family val="2"/>
    </font>
    <font>
      <vertAlign val="superscript"/>
      <sz val="20"/>
      <color rgb="FF538DD5"/>
      <name val="Arial"/>
      <family val="2"/>
    </font>
    <font>
      <vertAlign val="superscript"/>
      <sz val="18"/>
      <color rgb="FF538DD5"/>
      <name val="Arial"/>
      <family val="2"/>
    </font>
    <font>
      <vertAlign val="superscript"/>
      <sz val="26"/>
      <color rgb="FF538DD5"/>
      <name val="Arial"/>
      <family val="2"/>
    </font>
    <font>
      <vertAlign val="superscript"/>
      <sz val="18"/>
      <name val="Arial"/>
      <family val="2"/>
    </font>
    <font>
      <u/>
      <sz val="12"/>
      <color theme="10"/>
      <name val="Arial"/>
      <family val="2"/>
    </font>
    <font>
      <vertAlign val="subscript"/>
      <sz val="12"/>
      <name val="Arial"/>
      <family val="2"/>
    </font>
    <font>
      <vertAlign val="subscript"/>
      <sz val="12"/>
      <name val="Cambria"/>
      <family val="1"/>
    </font>
    <font>
      <vertAlign val="subscript"/>
      <sz val="12"/>
      <name val="Calibri"/>
      <family val="2"/>
    </font>
    <font>
      <sz val="10"/>
      <name val="Times New Roman"/>
      <family val="1"/>
    </font>
    <font>
      <b/>
      <i/>
      <sz val="14"/>
      <name val="Times New Roman"/>
      <family val="1"/>
    </font>
    <font>
      <sz val="9"/>
      <color rgb="FF000000"/>
      <name val="Verdana"/>
      <family val="2"/>
    </font>
    <font>
      <i/>
      <sz val="9"/>
      <color rgb="FF000000"/>
      <name val="Verdana"/>
      <family val="2"/>
    </font>
    <font>
      <sz val="10"/>
      <color rgb="FF538DD5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70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8EC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538DD5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447">
    <xf numFmtId="0" fontId="0" fillId="0" borderId="0" xfId="0"/>
    <xf numFmtId="0" fontId="3" fillId="0" borderId="0" xfId="0" applyFont="1"/>
    <xf numFmtId="0" fontId="6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Protection="1">
      <protection locked="0"/>
    </xf>
    <xf numFmtId="0" fontId="0" fillId="7" borderId="0" xfId="0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2" fillId="0" borderId="10" xfId="0" applyFont="1" applyBorder="1" applyProtection="1">
      <protection locked="0"/>
    </xf>
    <xf numFmtId="166" fontId="0" fillId="0" borderId="0" xfId="0" applyNumberFormat="1" applyProtection="1"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3" fillId="0" borderId="0" xfId="0" applyNumberFormat="1" applyFont="1" applyProtection="1">
      <protection locked="0"/>
    </xf>
    <xf numFmtId="166" fontId="16" fillId="0" borderId="0" xfId="0" applyNumberFormat="1" applyFont="1" applyProtection="1">
      <protection locked="0"/>
    </xf>
    <xf numFmtId="164" fontId="16" fillId="0" borderId="0" xfId="0" applyNumberFormat="1" applyFont="1" applyProtection="1">
      <protection locked="0"/>
    </xf>
    <xf numFmtId="166" fontId="17" fillId="0" borderId="0" xfId="0" applyNumberFormat="1" applyFont="1" applyProtection="1">
      <protection locked="0"/>
    </xf>
    <xf numFmtId="0" fontId="15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0" fontId="3" fillId="5" borderId="0" xfId="0" applyFont="1" applyFill="1" applyProtection="1">
      <protection locked="0"/>
    </xf>
    <xf numFmtId="0" fontId="0" fillId="5" borderId="0" xfId="0" applyFill="1" applyProtection="1">
      <protection locked="0"/>
    </xf>
    <xf numFmtId="0" fontId="3" fillId="5" borderId="0" xfId="0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6" borderId="0" xfId="0" applyFont="1" applyFill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0" fontId="3" fillId="6" borderId="0" xfId="0" applyFont="1" applyFill="1" applyProtection="1">
      <protection locked="0"/>
    </xf>
    <xf numFmtId="0" fontId="7" fillId="0" borderId="4" xfId="0" applyFont="1" applyBorder="1"/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9" fillId="0" borderId="0" xfId="0" applyFont="1"/>
    <xf numFmtId="3" fontId="19" fillId="0" borderId="0" xfId="0" applyNumberFormat="1" applyFont="1"/>
    <xf numFmtId="164" fontId="18" fillId="0" borderId="0" xfId="0" applyNumberFormat="1" applyFont="1"/>
    <xf numFmtId="0" fontId="11" fillId="4" borderId="16" xfId="0" applyFont="1" applyFill="1" applyBorder="1"/>
    <xf numFmtId="0" fontId="11" fillId="4" borderId="18" xfId="0" applyFont="1" applyFill="1" applyBorder="1"/>
    <xf numFmtId="0" fontId="11" fillId="6" borderId="0" xfId="0" applyFont="1" applyFill="1"/>
    <xf numFmtId="0" fontId="11" fillId="5" borderId="0" xfId="0" applyFont="1" applyFill="1"/>
    <xf numFmtId="0" fontId="3" fillId="8" borderId="0" xfId="0" applyFont="1" applyFill="1"/>
    <xf numFmtId="0" fontId="0" fillId="8" borderId="0" xfId="0" applyFill="1"/>
    <xf numFmtId="0" fontId="3" fillId="7" borderId="0" xfId="0" applyFont="1" applyFill="1"/>
    <xf numFmtId="0" fontId="11" fillId="0" borderId="0" xfId="0" applyFont="1"/>
    <xf numFmtId="2" fontId="17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2" fontId="12" fillId="0" borderId="0" xfId="0" applyNumberFormat="1" applyFont="1" applyProtection="1">
      <protection locked="0"/>
    </xf>
    <xf numFmtId="164" fontId="19" fillId="0" borderId="0" xfId="0" applyNumberFormat="1" applyFont="1"/>
    <xf numFmtId="164" fontId="12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164" fontId="4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0" fontId="20" fillId="0" borderId="0" xfId="0" applyFont="1"/>
    <xf numFmtId="0" fontId="20" fillId="0" borderId="26" xfId="0" applyFont="1" applyBorder="1"/>
    <xf numFmtId="0" fontId="0" fillId="0" borderId="0" xfId="0" applyAlignment="1">
      <alignment horizontal="center"/>
    </xf>
    <xf numFmtId="0" fontId="9" fillId="0" borderId="0" xfId="0" applyFont="1" applyProtection="1">
      <protection locked="0"/>
    </xf>
    <xf numFmtId="0" fontId="7" fillId="0" borderId="0" xfId="0" applyFont="1" applyProtection="1">
      <protection locked="0"/>
    </xf>
    <xf numFmtId="164" fontId="13" fillId="0" borderId="0" xfId="0" applyNumberFormat="1" applyFont="1" applyProtection="1">
      <protection locked="0"/>
    </xf>
    <xf numFmtId="164" fontId="10" fillId="0" borderId="0" xfId="0" applyNumberFormat="1" applyFont="1" applyProtection="1">
      <protection locked="0"/>
    </xf>
    <xf numFmtId="0" fontId="7" fillId="0" borderId="33" xfId="0" applyFont="1" applyBorder="1" applyProtection="1">
      <protection locked="0"/>
    </xf>
    <xf numFmtId="166" fontId="7" fillId="0" borderId="0" xfId="0" applyNumberFormat="1" applyFont="1" applyProtection="1">
      <protection locked="0"/>
    </xf>
    <xf numFmtId="0" fontId="3" fillId="4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10" fillId="4" borderId="0" xfId="0" applyFont="1" applyFill="1" applyProtection="1">
      <protection locked="0"/>
    </xf>
    <xf numFmtId="166" fontId="0" fillId="4" borderId="0" xfId="0" applyNumberFormat="1" applyFill="1" applyProtection="1">
      <protection locked="0"/>
    </xf>
    <xf numFmtId="166" fontId="12" fillId="0" borderId="0" xfId="0" applyNumberFormat="1" applyFont="1" applyAlignment="1">
      <alignment horizontal="left"/>
    </xf>
    <xf numFmtId="0" fontId="22" fillId="0" borderId="0" xfId="0" applyFont="1"/>
    <xf numFmtId="0" fontId="2" fillId="0" borderId="0" xfId="0" applyFont="1"/>
    <xf numFmtId="0" fontId="23" fillId="0" borderId="0" xfId="0" applyFont="1"/>
    <xf numFmtId="0" fontId="23" fillId="0" borderId="35" xfId="0" applyFont="1" applyBorder="1"/>
    <xf numFmtId="0" fontId="0" fillId="0" borderId="35" xfId="0" applyBorder="1"/>
    <xf numFmtId="2" fontId="3" fillId="0" borderId="0" xfId="0" applyNumberFormat="1" applyFont="1"/>
    <xf numFmtId="2" fontId="14" fillId="0" borderId="0" xfId="0" applyNumberFormat="1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0" fontId="7" fillId="10" borderId="44" xfId="0" applyFont="1" applyFill="1" applyBorder="1" applyAlignment="1">
      <alignment horizontal="center"/>
    </xf>
    <xf numFmtId="0" fontId="7" fillId="4" borderId="44" xfId="0" applyFont="1" applyFill="1" applyBorder="1" applyAlignment="1">
      <alignment horizontal="center"/>
    </xf>
    <xf numFmtId="0" fontId="7" fillId="4" borderId="48" xfId="0" applyFont="1" applyFill="1" applyBorder="1" applyAlignment="1">
      <alignment horizontal="center"/>
    </xf>
    <xf numFmtId="0" fontId="7" fillId="4" borderId="44" xfId="0" applyFont="1" applyFill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2" fillId="0" borderId="0" xfId="0" applyFont="1" applyAlignment="1" applyProtection="1">
      <alignment horizontal="center"/>
      <protection locked="0"/>
    </xf>
    <xf numFmtId="0" fontId="22" fillId="0" borderId="7" xfId="0" applyFont="1" applyBorder="1"/>
    <xf numFmtId="0" fontId="22" fillId="0" borderId="21" xfId="0" applyFont="1" applyBorder="1"/>
    <xf numFmtId="166" fontId="22" fillId="0" borderId="1" xfId="0" applyNumberFormat="1" applyFont="1" applyBorder="1" applyAlignment="1">
      <alignment horizontal="center"/>
    </xf>
    <xf numFmtId="0" fontId="22" fillId="0" borderId="4" xfId="0" applyFont="1" applyBorder="1"/>
    <xf numFmtId="164" fontId="22" fillId="0" borderId="0" xfId="0" applyNumberFormat="1" applyFont="1"/>
    <xf numFmtId="0" fontId="28" fillId="0" borderId="0" xfId="0" applyFont="1"/>
    <xf numFmtId="0" fontId="22" fillId="0" borderId="3" xfId="0" applyFont="1" applyBorder="1"/>
    <xf numFmtId="164" fontId="22" fillId="0" borderId="3" xfId="0" applyNumberFormat="1" applyFont="1" applyBorder="1"/>
    <xf numFmtId="0" fontId="22" fillId="0" borderId="5" xfId="0" applyFont="1" applyBorder="1" applyAlignment="1">
      <alignment horizontal="left"/>
    </xf>
    <xf numFmtId="0" fontId="22" fillId="0" borderId="8" xfId="0" applyFont="1" applyBorder="1"/>
    <xf numFmtId="164" fontId="22" fillId="0" borderId="31" xfId="0" applyNumberFormat="1" applyFont="1" applyBorder="1"/>
    <xf numFmtId="164" fontId="3" fillId="0" borderId="0" xfId="0" applyNumberFormat="1" applyFont="1"/>
    <xf numFmtId="0" fontId="22" fillId="0" borderId="13" xfId="0" applyFont="1" applyBorder="1" applyProtection="1">
      <protection locked="0"/>
    </xf>
    <xf numFmtId="166" fontId="22" fillId="0" borderId="13" xfId="0" applyNumberFormat="1" applyFont="1" applyBorder="1" applyAlignment="1">
      <alignment horizontal="center"/>
    </xf>
    <xf numFmtId="166" fontId="22" fillId="0" borderId="6" xfId="0" applyNumberFormat="1" applyFont="1" applyBorder="1"/>
    <xf numFmtId="0" fontId="18" fillId="0" borderId="4" xfId="0" applyFont="1" applyBorder="1"/>
    <xf numFmtId="0" fontId="18" fillId="0" borderId="0" xfId="0" applyFont="1"/>
    <xf numFmtId="0" fontId="13" fillId="0" borderId="3" xfId="0" applyFont="1" applyBorder="1"/>
    <xf numFmtId="166" fontId="13" fillId="0" borderId="3" xfId="0" applyNumberFormat="1" applyFont="1" applyBorder="1" applyAlignment="1">
      <alignment horizontal="center"/>
    </xf>
    <xf numFmtId="0" fontId="22" fillId="0" borderId="0" xfId="0" applyFont="1" applyAlignment="1" applyProtection="1">
      <alignment horizontal="left"/>
      <protection locked="0"/>
    </xf>
    <xf numFmtId="166" fontId="22" fillId="0" borderId="0" xfId="0" applyNumberFormat="1" applyFont="1" applyProtection="1">
      <protection locked="0"/>
    </xf>
    <xf numFmtId="164" fontId="22" fillId="0" borderId="15" xfId="0" applyNumberFormat="1" applyFont="1" applyBorder="1" applyProtection="1">
      <protection locked="0"/>
    </xf>
    <xf numFmtId="0" fontId="22" fillId="0" borderId="0" xfId="0" applyFont="1" applyProtection="1">
      <protection locked="0"/>
    </xf>
    <xf numFmtId="164" fontId="22" fillId="0" borderId="0" xfId="0" applyNumberFormat="1" applyFont="1" applyProtection="1">
      <protection locked="0"/>
    </xf>
    <xf numFmtId="164" fontId="18" fillId="0" borderId="15" xfId="0" applyNumberFormat="1" applyFont="1" applyBorder="1"/>
    <xf numFmtId="166" fontId="22" fillId="0" borderId="4" xfId="0" applyNumberFormat="1" applyFont="1" applyBorder="1"/>
    <xf numFmtId="166" fontId="22" fillId="0" borderId="0" xfId="0" applyNumberFormat="1" applyFont="1"/>
    <xf numFmtId="166" fontId="28" fillId="0" borderId="4" xfId="0" applyNumberFormat="1" applyFont="1" applyBorder="1" applyAlignment="1">
      <alignment horizontal="center"/>
    </xf>
    <xf numFmtId="166" fontId="28" fillId="0" borderId="0" xfId="0" applyNumberFormat="1" applyFont="1" applyAlignment="1">
      <alignment horizontal="center"/>
    </xf>
    <xf numFmtId="166" fontId="28" fillId="0" borderId="0" xfId="0" applyNumberFormat="1" applyFont="1"/>
    <xf numFmtId="166" fontId="22" fillId="0" borderId="33" xfId="0" applyNumberFormat="1" applyFont="1" applyBorder="1"/>
    <xf numFmtId="166" fontId="22" fillId="0" borderId="34" xfId="0" applyNumberFormat="1" applyFont="1" applyBorder="1"/>
    <xf numFmtId="166" fontId="22" fillId="0" borderId="27" xfId="0" applyNumberFormat="1" applyFont="1" applyBorder="1" applyProtection="1">
      <protection locked="0"/>
    </xf>
    <xf numFmtId="166" fontId="22" fillId="0" borderId="0" xfId="0" applyNumberFormat="1" applyFont="1" applyAlignment="1" applyProtection="1">
      <alignment horizontal="center"/>
      <protection locked="0"/>
    </xf>
    <xf numFmtId="166" fontId="22" fillId="0" borderId="0" xfId="0" applyNumberFormat="1" applyFont="1" applyAlignment="1">
      <alignment horizontal="center"/>
    </xf>
    <xf numFmtId="166" fontId="22" fillId="0" borderId="5" xfId="0" applyNumberFormat="1" applyFont="1" applyBorder="1" applyAlignment="1">
      <alignment horizontal="left"/>
    </xf>
    <xf numFmtId="166" fontId="22" fillId="0" borderId="19" xfId="0" applyNumberFormat="1" applyFont="1" applyBorder="1" applyAlignment="1" applyProtection="1">
      <alignment horizontal="center"/>
      <protection locked="0"/>
    </xf>
    <xf numFmtId="166" fontId="22" fillId="0" borderId="1" xfId="0" applyNumberFormat="1" applyFont="1" applyBorder="1" applyAlignment="1" applyProtection="1">
      <alignment horizontal="center"/>
      <protection locked="0"/>
    </xf>
    <xf numFmtId="166" fontId="22" fillId="0" borderId="9" xfId="0" applyNumberFormat="1" applyFont="1" applyBorder="1" applyAlignment="1">
      <alignment horizontal="center"/>
    </xf>
    <xf numFmtId="166" fontId="17" fillId="0" borderId="15" xfId="0" applyNumberFormat="1" applyFont="1" applyBorder="1" applyAlignment="1">
      <alignment horizontal="center"/>
    </xf>
    <xf numFmtId="166" fontId="13" fillId="0" borderId="10" xfId="0" applyNumberFormat="1" applyFont="1" applyBorder="1" applyAlignment="1">
      <alignment horizontal="left"/>
    </xf>
    <xf numFmtId="166" fontId="13" fillId="0" borderId="13" xfId="0" applyNumberFormat="1" applyFont="1" applyBorder="1" applyAlignment="1">
      <alignment horizontal="left"/>
    </xf>
    <xf numFmtId="166" fontId="22" fillId="0" borderId="31" xfId="0" applyNumberFormat="1" applyFont="1" applyBorder="1" applyAlignment="1" applyProtection="1">
      <alignment horizontal="center"/>
      <protection locked="0"/>
    </xf>
    <xf numFmtId="166" fontId="22" fillId="0" borderId="3" xfId="0" applyNumberFormat="1" applyFont="1" applyBorder="1" applyAlignment="1">
      <alignment horizontal="left"/>
    </xf>
    <xf numFmtId="166" fontId="17" fillId="0" borderId="0" xfId="0" applyNumberFormat="1" applyFont="1" applyAlignment="1">
      <alignment horizontal="left"/>
    </xf>
    <xf numFmtId="166" fontId="17" fillId="0" borderId="0" xfId="0" applyNumberFormat="1" applyFont="1" applyAlignment="1">
      <alignment horizontal="center"/>
    </xf>
    <xf numFmtId="166" fontId="22" fillId="0" borderId="15" xfId="0" applyNumberFormat="1" applyFont="1" applyBorder="1" applyAlignment="1" applyProtection="1">
      <alignment horizontal="center"/>
      <protection locked="0"/>
    </xf>
    <xf numFmtId="2" fontId="22" fillId="0" borderId="0" xfId="0" applyNumberFormat="1" applyFont="1" applyAlignment="1">
      <alignment horizontal="center"/>
    </xf>
    <xf numFmtId="166" fontId="22" fillId="0" borderId="5" xfId="0" applyNumberFormat="1" applyFont="1" applyBorder="1" applyAlignment="1" applyProtection="1">
      <alignment horizontal="center"/>
      <protection locked="0"/>
    </xf>
    <xf numFmtId="166" fontId="22" fillId="0" borderId="10" xfId="0" applyNumberFormat="1" applyFont="1" applyBorder="1" applyAlignment="1" applyProtection="1">
      <alignment horizontal="center"/>
      <protection locked="0"/>
    </xf>
    <xf numFmtId="166" fontId="13" fillId="0" borderId="10" xfId="0" applyNumberFormat="1" applyFont="1" applyBorder="1" applyAlignment="1">
      <alignment horizontal="center"/>
    </xf>
    <xf numFmtId="2" fontId="22" fillId="0" borderId="0" xfId="0" applyNumberFormat="1" applyFont="1"/>
    <xf numFmtId="164" fontId="22" fillId="0" borderId="4" xfId="0" applyNumberFormat="1" applyFont="1" applyBorder="1"/>
    <xf numFmtId="166" fontId="13" fillId="0" borderId="0" xfId="0" applyNumberFormat="1" applyFont="1"/>
    <xf numFmtId="164" fontId="13" fillId="0" borderId="0" xfId="0" applyNumberFormat="1" applyFont="1"/>
    <xf numFmtId="0" fontId="7" fillId="0" borderId="0" xfId="0" applyFont="1"/>
    <xf numFmtId="0" fontId="22" fillId="0" borderId="23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2" fillId="5" borderId="36" xfId="0" applyFont="1" applyFill="1" applyBorder="1" applyAlignment="1">
      <alignment horizontal="center"/>
    </xf>
    <xf numFmtId="168" fontId="22" fillId="11" borderId="37" xfId="0" applyNumberFormat="1" applyFont="1" applyFill="1" applyBorder="1"/>
    <xf numFmtId="0" fontId="22" fillId="4" borderId="1" xfId="0" applyFont="1" applyFill="1" applyBorder="1" applyAlignment="1">
      <alignment horizontal="center"/>
    </xf>
    <xf numFmtId="0" fontId="22" fillId="4" borderId="32" xfId="0" applyFont="1" applyFill="1" applyBorder="1" applyAlignment="1">
      <alignment horizontal="center"/>
    </xf>
    <xf numFmtId="168" fontId="22" fillId="11" borderId="39" xfId="0" applyNumberFormat="1" applyFont="1" applyFill="1" applyBorder="1" applyAlignment="1">
      <alignment horizontal="center"/>
    </xf>
    <xf numFmtId="0" fontId="22" fillId="10" borderId="14" xfId="0" applyFont="1" applyFill="1" applyBorder="1" applyAlignment="1">
      <alignment horizontal="center"/>
    </xf>
    <xf numFmtId="0" fontId="22" fillId="0" borderId="22" xfId="0" applyFont="1" applyBorder="1" applyAlignment="1">
      <alignment horizontal="right"/>
    </xf>
    <xf numFmtId="0" fontId="22" fillId="4" borderId="40" xfId="0" applyFont="1" applyFill="1" applyBorder="1" applyAlignment="1">
      <alignment horizontal="center"/>
    </xf>
    <xf numFmtId="168" fontId="22" fillId="10" borderId="8" xfId="0" applyNumberFormat="1" applyFont="1" applyFill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4" borderId="41" xfId="0" applyFont="1" applyFill="1" applyBorder="1" applyAlignment="1">
      <alignment horizontal="center"/>
    </xf>
    <xf numFmtId="166" fontId="22" fillId="6" borderId="43" xfId="0" applyNumberFormat="1" applyFont="1" applyFill="1" applyBorder="1" applyAlignment="1">
      <alignment horizontal="center"/>
    </xf>
    <xf numFmtId="168" fontId="22" fillId="10" borderId="13" xfId="0" applyNumberFormat="1" applyFont="1" applyFill="1" applyBorder="1" applyAlignment="1">
      <alignment horizontal="center"/>
    </xf>
    <xf numFmtId="168" fontId="22" fillId="10" borderId="3" xfId="0" applyNumberFormat="1" applyFont="1" applyFill="1" applyBorder="1" applyAlignment="1">
      <alignment horizontal="center"/>
    </xf>
    <xf numFmtId="0" fontId="22" fillId="4" borderId="40" xfId="0" applyFont="1" applyFill="1" applyBorder="1"/>
    <xf numFmtId="0" fontId="22" fillId="6" borderId="42" xfId="0" applyFont="1" applyFill="1" applyBorder="1" applyAlignment="1">
      <alignment horizontal="center"/>
    </xf>
    <xf numFmtId="0" fontId="22" fillId="9" borderId="0" xfId="0" applyFont="1" applyFill="1"/>
    <xf numFmtId="168" fontId="22" fillId="6" borderId="43" xfId="0" applyNumberFormat="1" applyFont="1" applyFill="1" applyBorder="1" applyAlignment="1">
      <alignment horizontal="center"/>
    </xf>
    <xf numFmtId="0" fontId="22" fillId="5" borderId="0" xfId="0" applyFont="1" applyFill="1"/>
    <xf numFmtId="0" fontId="22" fillId="0" borderId="35" xfId="0" applyFont="1" applyBorder="1"/>
    <xf numFmtId="0" fontId="22" fillId="7" borderId="0" xfId="0" applyFont="1" applyFill="1"/>
    <xf numFmtId="0" fontId="22" fillId="6" borderId="0" xfId="0" applyFont="1" applyFill="1"/>
    <xf numFmtId="0" fontId="22" fillId="11" borderId="0" xfId="0" applyFont="1" applyFill="1"/>
    <xf numFmtId="0" fontId="22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3" borderId="3" xfId="0" applyFont="1" applyFill="1" applyBorder="1"/>
    <xf numFmtId="0" fontId="22" fillId="2" borderId="1" xfId="0" applyFont="1" applyFill="1" applyBorder="1"/>
    <xf numFmtId="3" fontId="22" fillId="4" borderId="1" xfId="0" applyNumberFormat="1" applyFont="1" applyFill="1" applyBorder="1"/>
    <xf numFmtId="0" fontId="22" fillId="2" borderId="0" xfId="0" applyFont="1" applyFill="1"/>
    <xf numFmtId="0" fontId="22" fillId="4" borderId="2" xfId="0" applyFont="1" applyFill="1" applyBorder="1"/>
    <xf numFmtId="0" fontId="22" fillId="3" borderId="0" xfId="0" applyFont="1" applyFill="1"/>
    <xf numFmtId="11" fontId="22" fillId="0" borderId="0" xfId="0" applyNumberFormat="1" applyFont="1"/>
    <xf numFmtId="0" fontId="22" fillId="4" borderId="5" xfId="0" applyFont="1" applyFill="1" applyBorder="1"/>
    <xf numFmtId="0" fontId="22" fillId="4" borderId="10" xfId="0" applyFont="1" applyFill="1" applyBorder="1"/>
    <xf numFmtId="0" fontId="22" fillId="4" borderId="13" xfId="0" applyFont="1" applyFill="1" applyBorder="1"/>
    <xf numFmtId="0" fontId="29" fillId="9" borderId="0" xfId="0" applyFont="1" applyFill="1"/>
    <xf numFmtId="0" fontId="22" fillId="4" borderId="47" xfId="0" applyFont="1" applyFill="1" applyBorder="1"/>
    <xf numFmtId="0" fontId="22" fillId="4" borderId="15" xfId="0" applyFont="1" applyFill="1" applyBorder="1"/>
    <xf numFmtId="0" fontId="22" fillId="6" borderId="15" xfId="0" applyFont="1" applyFill="1" applyBorder="1"/>
    <xf numFmtId="0" fontId="22" fillId="6" borderId="6" xfId="0" applyFont="1" applyFill="1" applyBorder="1"/>
    <xf numFmtId="0" fontId="22" fillId="4" borderId="7" xfId="0" applyFont="1" applyFill="1" applyBorder="1"/>
    <xf numFmtId="0" fontId="22" fillId="4" borderId="9" xfId="0" applyFont="1" applyFill="1" applyBorder="1"/>
    <xf numFmtId="0" fontId="22" fillId="6" borderId="9" xfId="0" applyFont="1" applyFill="1" applyBorder="1"/>
    <xf numFmtId="0" fontId="22" fillId="6" borderId="8" xfId="0" applyFont="1" applyFill="1" applyBorder="1"/>
    <xf numFmtId="0" fontId="22" fillId="4" borderId="1" xfId="0" applyFont="1" applyFill="1" applyBorder="1" applyAlignment="1" applyProtection="1">
      <alignment horizontal="center"/>
      <protection locked="0"/>
    </xf>
    <xf numFmtId="3" fontId="22" fillId="4" borderId="1" xfId="0" applyNumberFormat="1" applyFont="1" applyFill="1" applyBorder="1" applyAlignment="1" applyProtection="1">
      <alignment horizontal="center"/>
      <protection locked="0"/>
    </xf>
    <xf numFmtId="3" fontId="22" fillId="0" borderId="0" xfId="0" applyNumberFormat="1" applyFont="1" applyProtection="1">
      <protection locked="0"/>
    </xf>
    <xf numFmtId="164" fontId="22" fillId="0" borderId="0" xfId="0" applyNumberFormat="1" applyFont="1" applyAlignment="1" applyProtection="1">
      <alignment horizontal="center"/>
      <protection locked="0"/>
    </xf>
    <xf numFmtId="166" fontId="13" fillId="0" borderId="0" xfId="0" applyNumberFormat="1" applyFont="1" applyProtection="1">
      <protection locked="0"/>
    </xf>
    <xf numFmtId="0" fontId="13" fillId="0" borderId="0" xfId="0" applyFont="1" applyProtection="1">
      <protection locked="0"/>
    </xf>
    <xf numFmtId="0" fontId="28" fillId="0" borderId="0" xfId="0" applyFont="1" applyProtection="1">
      <protection locked="0"/>
    </xf>
    <xf numFmtId="164" fontId="28" fillId="0" borderId="0" xfId="0" applyNumberFormat="1" applyFont="1" applyProtection="1">
      <protection locked="0"/>
    </xf>
    <xf numFmtId="2" fontId="22" fillId="0" borderId="0" xfId="0" applyNumberFormat="1" applyFont="1" applyProtection="1">
      <protection locked="0"/>
    </xf>
    <xf numFmtId="167" fontId="13" fillId="0" borderId="0" xfId="0" applyNumberFormat="1" applyFont="1" applyProtection="1">
      <protection locked="0"/>
    </xf>
    <xf numFmtId="165" fontId="22" fillId="0" borderId="0" xfId="0" applyNumberFormat="1" applyFont="1" applyProtection="1">
      <protection locked="0"/>
    </xf>
    <xf numFmtId="0" fontId="22" fillId="4" borderId="0" xfId="0" applyFont="1" applyFill="1" applyAlignment="1" applyProtection="1">
      <alignment vertical="center"/>
      <protection locked="0"/>
    </xf>
    <xf numFmtId="168" fontId="22" fillId="5" borderId="38" xfId="0" applyNumberFormat="1" applyFont="1" applyFill="1" applyBorder="1" applyAlignment="1">
      <alignment horizontal="center"/>
    </xf>
    <xf numFmtId="169" fontId="3" fillId="0" borderId="0" xfId="0" applyNumberFormat="1" applyFont="1"/>
    <xf numFmtId="169" fontId="0" fillId="0" borderId="0" xfId="0" applyNumberFormat="1"/>
    <xf numFmtId="168" fontId="3" fillId="0" borderId="0" xfId="0" applyNumberFormat="1" applyFont="1"/>
    <xf numFmtId="168" fontId="0" fillId="0" borderId="0" xfId="0" applyNumberFormat="1"/>
    <xf numFmtId="0" fontId="30" fillId="0" borderId="0" xfId="0" applyFont="1"/>
    <xf numFmtId="168" fontId="22" fillId="11" borderId="50" xfId="0" applyNumberFormat="1" applyFont="1" applyFill="1" applyBorder="1"/>
    <xf numFmtId="168" fontId="22" fillId="11" borderId="51" xfId="0" applyNumberFormat="1" applyFont="1" applyFill="1" applyBorder="1" applyAlignment="1">
      <alignment horizontal="center"/>
    </xf>
    <xf numFmtId="0" fontId="22" fillId="6" borderId="7" xfId="0" applyFont="1" applyFill="1" applyBorder="1" applyAlignment="1">
      <alignment horizontal="center"/>
    </xf>
    <xf numFmtId="168" fontId="22" fillId="0" borderId="17" xfId="0" applyNumberFormat="1" applyFont="1" applyBorder="1" applyAlignment="1">
      <alignment horizontal="center"/>
    </xf>
    <xf numFmtId="0" fontId="22" fillId="7" borderId="13" xfId="0" applyFont="1" applyFill="1" applyBorder="1" applyAlignment="1">
      <alignment horizontal="center"/>
    </xf>
    <xf numFmtId="168" fontId="22" fillId="7" borderId="13" xfId="0" applyNumberFormat="1" applyFont="1" applyFill="1" applyBorder="1" applyAlignment="1">
      <alignment horizontal="center"/>
    </xf>
    <xf numFmtId="168" fontId="22" fillId="10" borderId="7" xfId="0" applyNumberFormat="1" applyFont="1" applyFill="1" applyBorder="1" applyAlignment="1">
      <alignment horizontal="center"/>
    </xf>
    <xf numFmtId="168" fontId="6" fillId="6" borderId="53" xfId="0" applyNumberFormat="1" applyFont="1" applyFill="1" applyBorder="1" applyAlignment="1" applyProtection="1">
      <alignment horizontal="center"/>
      <protection locked="0"/>
    </xf>
    <xf numFmtId="0" fontId="23" fillId="0" borderId="45" xfId="0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3" fillId="0" borderId="54" xfId="0" applyFont="1" applyBorder="1" applyAlignment="1">
      <alignment horizontal="center"/>
    </xf>
    <xf numFmtId="166" fontId="23" fillId="0" borderId="45" xfId="0" applyNumberFormat="1" applyFont="1" applyBorder="1" applyAlignment="1">
      <alignment horizontal="center"/>
    </xf>
    <xf numFmtId="166" fontId="23" fillId="0" borderId="27" xfId="0" applyNumberFormat="1" applyFont="1" applyBorder="1" applyAlignment="1">
      <alignment horizontal="center"/>
    </xf>
    <xf numFmtId="166" fontId="23" fillId="0" borderId="46" xfId="0" applyNumberFormat="1" applyFont="1" applyBorder="1" applyAlignment="1">
      <alignment horizontal="center"/>
    </xf>
    <xf numFmtId="0" fontId="22" fillId="4" borderId="44" xfId="0" applyFont="1" applyFill="1" applyBorder="1"/>
    <xf numFmtId="0" fontId="22" fillId="12" borderId="44" xfId="0" applyFont="1" applyFill="1" applyBorder="1"/>
    <xf numFmtId="0" fontId="22" fillId="12" borderId="0" xfId="0" applyFont="1" applyFill="1"/>
    <xf numFmtId="0" fontId="25" fillId="0" borderId="0" xfId="0" applyFont="1" applyAlignment="1">
      <alignment horizontal="center" vertical="top"/>
    </xf>
    <xf numFmtId="0" fontId="7" fillId="0" borderId="0" xfId="0" applyFont="1" applyAlignment="1">
      <alignment horizontal="left"/>
    </xf>
    <xf numFmtId="168" fontId="3" fillId="0" borderId="0" xfId="0" quotePrefix="1" applyNumberFormat="1" applyFont="1"/>
    <xf numFmtId="0" fontId="32" fillId="0" borderId="0" xfId="0" applyFont="1"/>
    <xf numFmtId="0" fontId="33" fillId="0" borderId="4" xfId="0" applyFont="1" applyBorder="1"/>
    <xf numFmtId="0" fontId="34" fillId="4" borderId="1" xfId="0" applyFont="1" applyFill="1" applyBorder="1" applyAlignment="1" applyProtection="1">
      <alignment horizontal="center"/>
      <protection locked="0"/>
    </xf>
    <xf numFmtId="166" fontId="35" fillId="0" borderId="15" xfId="0" applyNumberFormat="1" applyFont="1" applyBorder="1" applyAlignment="1">
      <alignment horizontal="left"/>
    </xf>
    <xf numFmtId="166" fontId="35" fillId="0" borderId="0" xfId="0" applyNumberFormat="1" applyFont="1" applyAlignment="1">
      <alignment horizontal="left"/>
    </xf>
    <xf numFmtId="0" fontId="39" fillId="0" borderId="0" xfId="0" applyFont="1"/>
    <xf numFmtId="0" fontId="38" fillId="0" borderId="0" xfId="0" applyFont="1"/>
    <xf numFmtId="168" fontId="11" fillId="4" borderId="17" xfId="0" applyNumberFormat="1" applyFont="1" applyFill="1" applyBorder="1"/>
    <xf numFmtId="168" fontId="20" fillId="0" borderId="0" xfId="0" applyNumberFormat="1" applyFont="1"/>
    <xf numFmtId="168" fontId="22" fillId="0" borderId="0" xfId="0" applyNumberFormat="1" applyFont="1"/>
    <xf numFmtId="168" fontId="22" fillId="4" borderId="32" xfId="0" applyNumberFormat="1" applyFont="1" applyFill="1" applyBorder="1" applyAlignment="1">
      <alignment horizontal="center"/>
    </xf>
    <xf numFmtId="168" fontId="22" fillId="0" borderId="0" xfId="0" applyNumberFormat="1" applyFont="1" applyProtection="1">
      <protection locked="0"/>
    </xf>
    <xf numFmtId="168" fontId="19" fillId="0" borderId="0" xfId="0" applyNumberFormat="1" applyFont="1"/>
    <xf numFmtId="168" fontId="22" fillId="0" borderId="10" xfId="0" applyNumberFormat="1" applyFont="1" applyBorder="1" applyProtection="1">
      <protection locked="0"/>
    </xf>
    <xf numFmtId="168" fontId="22" fillId="0" borderId="0" xfId="0" applyNumberFormat="1" applyFont="1" applyAlignment="1" applyProtection="1">
      <alignment horizontal="center"/>
      <protection locked="0"/>
    </xf>
    <xf numFmtId="168" fontId="22" fillId="5" borderId="3" xfId="0" applyNumberFormat="1" applyFont="1" applyFill="1" applyBorder="1" applyAlignment="1" applyProtection="1">
      <alignment horizontal="center"/>
      <protection locked="0"/>
    </xf>
    <xf numFmtId="168" fontId="18" fillId="0" borderId="0" xfId="0" applyNumberFormat="1" applyFont="1"/>
    <xf numFmtId="168" fontId="28" fillId="0" borderId="0" xfId="0" applyNumberFormat="1" applyFont="1" applyAlignment="1">
      <alignment horizontal="center"/>
    </xf>
    <xf numFmtId="168" fontId="22" fillId="0" borderId="3" xfId="0" applyNumberFormat="1" applyFont="1" applyBorder="1" applyAlignment="1" applyProtection="1">
      <alignment horizontal="center"/>
      <protection locked="0"/>
    </xf>
    <xf numFmtId="168" fontId="17" fillId="0" borderId="15" xfId="0" applyNumberFormat="1" applyFont="1" applyBorder="1" applyAlignment="1">
      <alignment horizontal="center"/>
    </xf>
    <xf numFmtId="168" fontId="17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center"/>
    </xf>
    <xf numFmtId="168" fontId="22" fillId="0" borderId="10" xfId="0" applyNumberFormat="1" applyFont="1" applyBorder="1" applyAlignment="1" applyProtection="1">
      <alignment horizontal="center"/>
      <protection locked="0"/>
    </xf>
    <xf numFmtId="168" fontId="13" fillId="0" borderId="3" xfId="0" applyNumberFormat="1" applyFont="1" applyBorder="1" applyAlignment="1" applyProtection="1">
      <alignment horizontal="center"/>
      <protection locked="0"/>
    </xf>
    <xf numFmtId="168" fontId="13" fillId="0" borderId="0" xfId="0" applyNumberFormat="1" applyFont="1"/>
    <xf numFmtId="168" fontId="16" fillId="0" borderId="0" xfId="0" applyNumberFormat="1" applyFont="1" applyProtection="1">
      <protection locked="0"/>
    </xf>
    <xf numFmtId="168" fontId="13" fillId="0" borderId="0" xfId="0" applyNumberFormat="1" applyFont="1" applyProtection="1">
      <protection locked="0"/>
    </xf>
    <xf numFmtId="168" fontId="22" fillId="4" borderId="0" xfId="0" applyNumberFormat="1" applyFont="1" applyFill="1" applyAlignment="1" applyProtection="1">
      <alignment vertical="center"/>
      <protection locked="0"/>
    </xf>
    <xf numFmtId="168" fontId="0" fillId="0" borderId="0" xfId="0" applyNumberFormat="1" applyProtection="1">
      <protection locked="0"/>
    </xf>
    <xf numFmtId="168" fontId="0" fillId="5" borderId="0" xfId="0" applyNumberFormat="1" applyFill="1" applyProtection="1">
      <protection locked="0"/>
    </xf>
    <xf numFmtId="168" fontId="3" fillId="6" borderId="0" xfId="0" applyNumberFormat="1" applyFont="1" applyFill="1" applyAlignment="1" applyProtection="1">
      <alignment horizontal="center"/>
      <protection locked="0"/>
    </xf>
    <xf numFmtId="168" fontId="0" fillId="6" borderId="0" xfId="0" applyNumberFormat="1" applyFill="1" applyProtection="1">
      <protection locked="0"/>
    </xf>
    <xf numFmtId="168" fontId="9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8" fontId="22" fillId="5" borderId="5" xfId="0" applyNumberFormat="1" applyFont="1" applyFill="1" applyBorder="1" applyAlignment="1" applyProtection="1">
      <alignment horizontal="center"/>
      <protection locked="0"/>
    </xf>
    <xf numFmtId="168" fontId="23" fillId="0" borderId="55" xfId="0" applyNumberFormat="1" applyFont="1" applyBorder="1" applyAlignment="1">
      <alignment horizontal="center"/>
    </xf>
    <xf numFmtId="168" fontId="23" fillId="0" borderId="56" xfId="0" applyNumberFormat="1" applyFont="1" applyBorder="1" applyAlignment="1">
      <alignment horizontal="center"/>
    </xf>
    <xf numFmtId="168" fontId="23" fillId="0" borderId="57" xfId="0" applyNumberFormat="1" applyFont="1" applyBorder="1" applyAlignment="1">
      <alignment horizontal="center"/>
    </xf>
    <xf numFmtId="168" fontId="22" fillId="0" borderId="19" xfId="0" applyNumberFormat="1" applyFont="1" applyBorder="1" applyAlignment="1">
      <alignment horizontal="center"/>
    </xf>
    <xf numFmtId="168" fontId="22" fillId="0" borderId="5" xfId="0" applyNumberFormat="1" applyFont="1" applyBorder="1" applyAlignment="1" applyProtection="1">
      <alignment horizontal="center"/>
      <protection locked="0"/>
    </xf>
    <xf numFmtId="168" fontId="31" fillId="0" borderId="55" xfId="0" applyNumberFormat="1" applyFont="1" applyBorder="1" applyAlignment="1">
      <alignment horizontal="center"/>
    </xf>
    <xf numFmtId="168" fontId="31" fillId="0" borderId="57" xfId="0" applyNumberFormat="1" applyFont="1" applyBorder="1" applyAlignment="1">
      <alignment horizontal="center"/>
    </xf>
    <xf numFmtId="168" fontId="22" fillId="0" borderId="12" xfId="0" applyNumberFormat="1" applyFont="1" applyBorder="1" applyProtection="1">
      <protection locked="0"/>
    </xf>
    <xf numFmtId="168" fontId="22" fillId="0" borderId="14" xfId="0" applyNumberFormat="1" applyFont="1" applyBorder="1" applyAlignment="1">
      <alignment horizontal="center"/>
    </xf>
    <xf numFmtId="168" fontId="13" fillId="0" borderId="3" xfId="0" applyNumberFormat="1" applyFont="1" applyBorder="1" applyAlignment="1">
      <alignment horizontal="center"/>
    </xf>
    <xf numFmtId="168" fontId="13" fillId="0" borderId="5" xfId="0" applyNumberFormat="1" applyFont="1" applyBorder="1" applyAlignment="1">
      <alignment horizontal="center"/>
    </xf>
    <xf numFmtId="0" fontId="32" fillId="0" borderId="59" xfId="0" applyFont="1" applyBorder="1"/>
    <xf numFmtId="1" fontId="22" fillId="4" borderId="17" xfId="0" applyNumberFormat="1" applyFont="1" applyFill="1" applyBorder="1" applyAlignment="1" applyProtection="1">
      <alignment horizontal="center"/>
      <protection locked="0"/>
    </xf>
    <xf numFmtId="166" fontId="35" fillId="0" borderId="0" xfId="0" applyNumberFormat="1" applyFont="1" applyProtection="1">
      <protection locked="0"/>
    </xf>
    <xf numFmtId="0" fontId="41" fillId="0" borderId="0" xfId="0" applyFont="1"/>
    <xf numFmtId="0" fontId="0" fillId="0" borderId="33" xfId="0" applyBorder="1"/>
    <xf numFmtId="0" fontId="43" fillId="0" borderId="0" xfId="1"/>
    <xf numFmtId="0" fontId="40" fillId="0" borderId="0" xfId="0" applyFont="1"/>
    <xf numFmtId="0" fontId="0" fillId="0" borderId="59" xfId="0" applyBorder="1"/>
    <xf numFmtId="0" fontId="43" fillId="0" borderId="0" xfId="1" applyBorder="1"/>
    <xf numFmtId="0" fontId="43" fillId="0" borderId="0" xfId="1" applyProtection="1">
      <protection locked="0"/>
    </xf>
    <xf numFmtId="0" fontId="44" fillId="0" borderId="0" xfId="0" applyFont="1"/>
    <xf numFmtId="0" fontId="43" fillId="0" borderId="0" xfId="1" applyAlignment="1">
      <alignment horizontal="left" vertical="top"/>
    </xf>
    <xf numFmtId="0" fontId="50" fillId="0" borderId="59" xfId="1" applyFont="1" applyBorder="1"/>
    <xf numFmtId="0" fontId="41" fillId="0" borderId="59" xfId="0" applyFont="1" applyBorder="1"/>
    <xf numFmtId="0" fontId="7" fillId="13" borderId="44" xfId="0" applyFont="1" applyFill="1" applyBorder="1" applyAlignment="1" applyProtection="1">
      <alignment horizontal="center"/>
      <protection locked="0"/>
    </xf>
    <xf numFmtId="168" fontId="7" fillId="5" borderId="61" xfId="0" applyNumberFormat="1" applyFont="1" applyFill="1" applyBorder="1" applyAlignment="1">
      <alignment horizontal="center"/>
    </xf>
    <xf numFmtId="0" fontId="7" fillId="5" borderId="44" xfId="0" applyFont="1" applyFill="1" applyBorder="1" applyAlignment="1">
      <alignment horizontal="center"/>
    </xf>
    <xf numFmtId="0" fontId="0" fillId="0" borderId="27" xfId="0" applyBorder="1"/>
    <xf numFmtId="0" fontId="22" fillId="0" borderId="27" xfId="0" applyFont="1" applyBorder="1"/>
    <xf numFmtId="0" fontId="22" fillId="14" borderId="44" xfId="0" applyFont="1" applyFill="1" applyBorder="1" applyAlignment="1" applyProtection="1">
      <alignment horizontal="center"/>
      <protection locked="0"/>
    </xf>
    <xf numFmtId="168" fontId="7" fillId="14" borderId="44" xfId="0" applyNumberFormat="1" applyFont="1" applyFill="1" applyBorder="1" applyAlignment="1">
      <alignment horizontal="center"/>
    </xf>
    <xf numFmtId="0" fontId="0" fillId="15" borderId="0" xfId="0" applyFill="1"/>
    <xf numFmtId="0" fontId="0" fillId="0" borderId="0" xfId="0" applyAlignment="1">
      <alignment horizontal="left"/>
    </xf>
    <xf numFmtId="0" fontId="22" fillId="15" borderId="0" xfId="0" applyFont="1" applyFill="1" applyAlignment="1">
      <alignment horizontal="center" vertical="center"/>
    </xf>
    <xf numFmtId="0" fontId="22" fillId="15" borderId="0" xfId="0" applyFont="1" applyFill="1"/>
    <xf numFmtId="0" fontId="54" fillId="0" borderId="0" xfId="0" applyFont="1"/>
    <xf numFmtId="0" fontId="55" fillId="0" borderId="0" xfId="0" applyFont="1"/>
    <xf numFmtId="168" fontId="6" fillId="0" borderId="0" xfId="0" applyNumberFormat="1" applyFont="1"/>
    <xf numFmtId="168" fontId="22" fillId="10" borderId="0" xfId="0" applyNumberFormat="1" applyFont="1" applyFill="1"/>
    <xf numFmtId="168" fontId="22" fillId="16" borderId="63" xfId="0" applyNumberFormat="1" applyFont="1" applyFill="1" applyBorder="1"/>
    <xf numFmtId="168" fontId="22" fillId="16" borderId="60" xfId="0" applyNumberFormat="1" applyFont="1" applyFill="1" applyBorder="1"/>
    <xf numFmtId="168" fontId="43" fillId="0" borderId="0" xfId="1" applyNumberFormat="1"/>
    <xf numFmtId="168" fontId="22" fillId="4" borderId="60" xfId="0" applyNumberFormat="1" applyFont="1" applyFill="1" applyBorder="1"/>
    <xf numFmtId="168" fontId="22" fillId="2" borderId="44" xfId="0" applyNumberFormat="1" applyFont="1" applyFill="1" applyBorder="1" applyAlignment="1">
      <alignment horizontal="center"/>
    </xf>
    <xf numFmtId="1" fontId="22" fillId="2" borderId="44" xfId="0" applyNumberFormat="1" applyFont="1" applyFill="1" applyBorder="1" applyAlignment="1">
      <alignment horizontal="center"/>
    </xf>
    <xf numFmtId="168" fontId="22" fillId="0" borderId="0" xfId="0" applyNumberFormat="1" applyFont="1" applyAlignment="1">
      <alignment horizontal="center"/>
    </xf>
    <xf numFmtId="168" fontId="22" fillId="16" borderId="62" xfId="0" applyNumberFormat="1" applyFont="1" applyFill="1" applyBorder="1" applyAlignment="1">
      <alignment horizontal="center"/>
    </xf>
    <xf numFmtId="1" fontId="22" fillId="16" borderId="62" xfId="0" applyNumberFormat="1" applyFont="1" applyFill="1" applyBorder="1" applyAlignment="1">
      <alignment horizontal="center"/>
    </xf>
    <xf numFmtId="168" fontId="22" fillId="16" borderId="63" xfId="0" applyNumberFormat="1" applyFont="1" applyFill="1" applyBorder="1" applyAlignment="1">
      <alignment horizontal="center"/>
    </xf>
    <xf numFmtId="168" fontId="22" fillId="16" borderId="60" xfId="0" applyNumberFormat="1" applyFont="1" applyFill="1" applyBorder="1" applyAlignment="1">
      <alignment horizontal="center"/>
    </xf>
    <xf numFmtId="164" fontId="22" fillId="0" borderId="0" xfId="0" applyNumberFormat="1" applyFont="1" applyAlignment="1">
      <alignment horizontal="center"/>
    </xf>
    <xf numFmtId="168" fontId="22" fillId="0" borderId="61" xfId="0" applyNumberFormat="1" applyFont="1" applyBorder="1"/>
    <xf numFmtId="168" fontId="22" fillId="7" borderId="29" xfId="0" applyNumberFormat="1" applyFont="1" applyFill="1" applyBorder="1" applyAlignment="1">
      <alignment horizontal="center"/>
    </xf>
    <xf numFmtId="168" fontId="22" fillId="7" borderId="14" xfId="0" applyNumberFormat="1" applyFont="1" applyFill="1" applyBorder="1"/>
    <xf numFmtId="168" fontId="0" fillId="7" borderId="31" xfId="0" applyNumberFormat="1" applyFill="1" applyBorder="1"/>
    <xf numFmtId="168" fontId="22" fillId="16" borderId="44" xfId="0" applyNumberFormat="1" applyFont="1" applyFill="1" applyBorder="1" applyAlignment="1">
      <alignment horizontal="center"/>
    </xf>
    <xf numFmtId="168" fontId="22" fillId="7" borderId="29" xfId="0" applyNumberFormat="1" applyFont="1" applyFill="1" applyBorder="1" applyAlignment="1">
      <alignment horizontal="right"/>
    </xf>
    <xf numFmtId="168" fontId="22" fillId="0" borderId="35" xfId="0" applyNumberFormat="1" applyFont="1" applyBorder="1"/>
    <xf numFmtId="1" fontId="22" fillId="0" borderId="0" xfId="0" applyNumberFormat="1" applyFont="1" applyAlignment="1">
      <alignment horizontal="center"/>
    </xf>
    <xf numFmtId="1" fontId="22" fillId="10" borderId="13" xfId="0" applyNumberFormat="1" applyFont="1" applyFill="1" applyBorder="1" applyAlignment="1">
      <alignment horizontal="center"/>
    </xf>
    <xf numFmtId="1" fontId="22" fillId="16" borderId="44" xfId="0" applyNumberFormat="1" applyFont="1" applyFill="1" applyBorder="1" applyAlignment="1">
      <alignment horizontal="center"/>
    </xf>
    <xf numFmtId="168" fontId="22" fillId="4" borderId="44" xfId="0" applyNumberFormat="1" applyFont="1" applyFill="1" applyBorder="1"/>
    <xf numFmtId="168" fontId="22" fillId="16" borderId="48" xfId="0" applyNumberFormat="1" applyFont="1" applyFill="1" applyBorder="1"/>
    <xf numFmtId="168" fontId="12" fillId="0" borderId="0" xfId="0" applyNumberFormat="1" applyFont="1"/>
    <xf numFmtId="168" fontId="22" fillId="0" borderId="44" xfId="0" applyNumberFormat="1" applyFont="1" applyBorder="1" applyAlignment="1">
      <alignment horizontal="center"/>
    </xf>
    <xf numFmtId="168" fontId="22" fillId="12" borderId="48" xfId="0" applyNumberFormat="1" applyFont="1" applyFill="1" applyBorder="1"/>
    <xf numFmtId="168" fontId="22" fillId="12" borderId="63" xfId="0" applyNumberFormat="1" applyFont="1" applyFill="1" applyBorder="1"/>
    <xf numFmtId="164" fontId="0" fillId="12" borderId="60" xfId="0" applyNumberFormat="1" applyFill="1" applyBorder="1"/>
    <xf numFmtId="168" fontId="22" fillId="12" borderId="44" xfId="0" applyNumberFormat="1" applyFont="1" applyFill="1" applyBorder="1"/>
    <xf numFmtId="168" fontId="22" fillId="12" borderId="44" xfId="0" applyNumberFormat="1" applyFont="1" applyFill="1" applyBorder="1" applyAlignment="1">
      <alignment horizontal="center"/>
    </xf>
    <xf numFmtId="168" fontId="22" fillId="12" borderId="0" xfId="0" applyNumberFormat="1" applyFont="1" applyFill="1"/>
    <xf numFmtId="168" fontId="0" fillId="12" borderId="0" xfId="0" applyNumberFormat="1" applyFill="1"/>
    <xf numFmtId="164" fontId="22" fillId="12" borderId="0" xfId="0" applyNumberFormat="1" applyFont="1" applyFill="1"/>
    <xf numFmtId="168" fontId="22" fillId="12" borderId="0" xfId="0" applyNumberFormat="1" applyFont="1" applyFill="1" applyAlignment="1">
      <alignment horizontal="center"/>
    </xf>
    <xf numFmtId="168" fontId="22" fillId="0" borderId="35" xfId="0" applyNumberFormat="1" applyFont="1" applyBorder="1" applyAlignment="1">
      <alignment horizontal="center"/>
    </xf>
    <xf numFmtId="168" fontId="22" fillId="0" borderId="64" xfId="0" applyNumberFormat="1" applyFont="1" applyBorder="1" applyAlignment="1">
      <alignment horizontal="center"/>
    </xf>
    <xf numFmtId="168" fontId="22" fillId="0" borderId="12" xfId="0" applyNumberFormat="1" applyFont="1" applyBorder="1" applyAlignment="1">
      <alignment horizontal="center"/>
    </xf>
    <xf numFmtId="168" fontId="12" fillId="0" borderId="33" xfId="0" applyNumberFormat="1" applyFont="1" applyBorder="1"/>
    <xf numFmtId="0" fontId="0" fillId="0" borderId="3" xfId="0" applyBorder="1"/>
    <xf numFmtId="0" fontId="0" fillId="0" borderId="65" xfId="0" applyBorder="1"/>
    <xf numFmtId="0" fontId="0" fillId="0" borderId="4" xfId="0" applyBorder="1"/>
    <xf numFmtId="0" fontId="0" fillId="2" borderId="1" xfId="0" applyFill="1" applyBorder="1"/>
    <xf numFmtId="0" fontId="0" fillId="4" borderId="0" xfId="0" applyFill="1"/>
    <xf numFmtId="0" fontId="0" fillId="17" borderId="0" xfId="0" applyFill="1"/>
    <xf numFmtId="0" fontId="0" fillId="17" borderId="1" xfId="0" applyFill="1" applyBorder="1"/>
    <xf numFmtId="0" fontId="0" fillId="17" borderId="3" xfId="0" applyFill="1" applyBorder="1"/>
    <xf numFmtId="0" fontId="0" fillId="18" borderId="0" xfId="0" applyFill="1"/>
    <xf numFmtId="0" fontId="0" fillId="18" borderId="3" xfId="0" applyFill="1" applyBorder="1"/>
    <xf numFmtId="0" fontId="3" fillId="0" borderId="3" xfId="0" applyFont="1" applyBorder="1"/>
    <xf numFmtId="0" fontId="3" fillId="0" borderId="4" xfId="0" applyFont="1" applyBorder="1"/>
    <xf numFmtId="0" fontId="56" fillId="0" borderId="0" xfId="0" applyFont="1"/>
    <xf numFmtId="0" fontId="3" fillId="0" borderId="0" xfId="0" applyFont="1" applyAlignment="1">
      <alignment wrapText="1"/>
    </xf>
    <xf numFmtId="0" fontId="22" fillId="4" borderId="0" xfId="0" applyFont="1" applyFill="1"/>
    <xf numFmtId="0" fontId="14" fillId="0" borderId="0" xfId="0" applyFont="1"/>
    <xf numFmtId="0" fontId="7" fillId="6" borderId="52" xfId="0" applyFont="1" applyFill="1" applyBorder="1" applyAlignment="1">
      <alignment horizontal="center"/>
    </xf>
    <xf numFmtId="168" fontId="7" fillId="6" borderId="52" xfId="0" applyNumberFormat="1" applyFont="1" applyFill="1" applyBorder="1" applyAlignment="1">
      <alignment horizontal="center"/>
    </xf>
    <xf numFmtId="168" fontId="24" fillId="6" borderId="53" xfId="0" applyNumberFormat="1" applyFont="1" applyFill="1" applyBorder="1" applyAlignment="1" applyProtection="1">
      <alignment horizontal="center"/>
      <protection locked="0"/>
    </xf>
    <xf numFmtId="168" fontId="22" fillId="11" borderId="37" xfId="0" applyNumberFormat="1" applyFont="1" applyFill="1" applyBorder="1" applyAlignment="1">
      <alignment horizontal="center"/>
    </xf>
    <xf numFmtId="0" fontId="7" fillId="0" borderId="61" xfId="0" applyFont="1" applyBorder="1" applyAlignment="1">
      <alignment horizontal="center"/>
    </xf>
    <xf numFmtId="0" fontId="7" fillId="0" borderId="67" xfId="0" applyFont="1" applyBorder="1" applyAlignment="1">
      <alignment horizontal="center"/>
    </xf>
    <xf numFmtId="0" fontId="22" fillId="4" borderId="16" xfId="0" applyFont="1" applyFill="1" applyBorder="1"/>
    <xf numFmtId="0" fontId="22" fillId="4" borderId="60" xfId="0" applyFont="1" applyFill="1" applyBorder="1"/>
    <xf numFmtId="0" fontId="22" fillId="19" borderId="0" xfId="0" applyFont="1" applyFill="1"/>
    <xf numFmtId="168" fontId="22" fillId="15" borderId="0" xfId="0" applyNumberFormat="1" applyFont="1" applyFill="1"/>
    <xf numFmtId="0" fontId="3" fillId="0" borderId="0" xfId="0" quotePrefix="1" applyFont="1"/>
    <xf numFmtId="0" fontId="58" fillId="0" borderId="0" xfId="0" applyFont="1"/>
    <xf numFmtId="0" fontId="13" fillId="0" borderId="0" xfId="0" applyFont="1"/>
    <xf numFmtId="0" fontId="22" fillId="0" borderId="69" xfId="0" applyFont="1" applyBorder="1"/>
    <xf numFmtId="0" fontId="3" fillId="0" borderId="0" xfId="1" applyFont="1"/>
    <xf numFmtId="0" fontId="32" fillId="0" borderId="68" xfId="0" applyFont="1" applyBorder="1"/>
    <xf numFmtId="0" fontId="22" fillId="0" borderId="68" xfId="0" applyFont="1" applyBorder="1"/>
    <xf numFmtId="0" fontId="28" fillId="0" borderId="68" xfId="0" applyFont="1" applyBorder="1"/>
    <xf numFmtId="0" fontId="24" fillId="0" borderId="0" xfId="0" applyFont="1"/>
    <xf numFmtId="0" fontId="7" fillId="4" borderId="70" xfId="0" applyFont="1" applyFill="1" applyBorder="1" applyAlignment="1" applyProtection="1">
      <alignment horizontal="center"/>
      <protection locked="0"/>
    </xf>
    <xf numFmtId="0" fontId="28" fillId="0" borderId="69" xfId="0" applyFont="1" applyBorder="1"/>
    <xf numFmtId="0" fontId="22" fillId="0" borderId="40" xfId="0" applyFont="1" applyBorder="1"/>
    <xf numFmtId="0" fontId="22" fillId="0" borderId="37" xfId="0" applyFont="1" applyBorder="1"/>
    <xf numFmtId="0" fontId="0" fillId="20" borderId="0" xfId="0" applyFill="1"/>
    <xf numFmtId="0" fontId="3" fillId="20" borderId="0" xfId="0" applyFont="1" applyFill="1"/>
    <xf numFmtId="0" fontId="3" fillId="4" borderId="0" xfId="0" applyFont="1" applyFill="1"/>
    <xf numFmtId="0" fontId="28" fillId="0" borderId="41" xfId="0" applyFont="1" applyBorder="1"/>
    <xf numFmtId="0" fontId="28" fillId="0" borderId="39" xfId="0" applyFont="1" applyBorder="1"/>
    <xf numFmtId="168" fontId="22" fillId="15" borderId="0" xfId="0" applyNumberFormat="1" applyFont="1" applyFill="1" applyAlignment="1">
      <alignment horizontal="right"/>
    </xf>
    <xf numFmtId="0" fontId="1" fillId="15" borderId="0" xfId="0" applyFont="1" applyFill="1"/>
    <xf numFmtId="168" fontId="1" fillId="15" borderId="0" xfId="0" applyNumberFormat="1" applyFont="1" applyFill="1"/>
    <xf numFmtId="168" fontId="0" fillId="15" borderId="0" xfId="0" applyNumberFormat="1" applyFill="1"/>
    <xf numFmtId="168" fontId="22" fillId="0" borderId="0" xfId="0" quotePrefix="1" applyNumberFormat="1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42" fillId="0" borderId="0" xfId="0" applyFont="1" applyAlignment="1">
      <alignment horizontal="left" vertical="top"/>
    </xf>
    <xf numFmtId="0" fontId="7" fillId="0" borderId="35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2" fillId="0" borderId="48" xfId="0" applyFont="1" applyBorder="1" applyAlignment="1">
      <alignment horizontal="left"/>
    </xf>
    <xf numFmtId="0" fontId="22" fillId="0" borderId="60" xfId="0" applyFont="1" applyBorder="1" applyAlignment="1">
      <alignment horizontal="left"/>
    </xf>
    <xf numFmtId="0" fontId="24" fillId="0" borderId="33" xfId="0" applyFont="1" applyBorder="1" applyAlignment="1">
      <alignment horizontal="center"/>
    </xf>
    <xf numFmtId="0" fontId="24" fillId="0" borderId="66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37" fillId="0" borderId="2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49" xfId="0" applyFont="1" applyBorder="1" applyAlignment="1">
      <alignment horizontal="center"/>
    </xf>
    <xf numFmtId="0" fontId="3" fillId="0" borderId="0" xfId="0" applyFont="1" applyAlignment="1" applyProtection="1">
      <alignment horizontal="left"/>
      <protection locked="0"/>
    </xf>
    <xf numFmtId="168" fontId="22" fillId="0" borderId="3" xfId="0" applyNumberFormat="1" applyFont="1" applyBorder="1" applyAlignment="1">
      <alignment horizontal="center"/>
    </xf>
    <xf numFmtId="168" fontId="22" fillId="0" borderId="5" xfId="0" applyNumberFormat="1" applyFont="1" applyBorder="1" applyAlignment="1">
      <alignment horizontal="center"/>
    </xf>
    <xf numFmtId="168" fontId="22" fillId="0" borderId="7" xfId="0" applyNumberFormat="1" applyFont="1" applyBorder="1" applyAlignment="1">
      <alignment horizontal="center"/>
    </xf>
    <xf numFmtId="168" fontId="22" fillId="0" borderId="20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2" xfId="0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0" xfId="0" applyFont="1" applyAlignment="1">
      <alignment horizontal="right"/>
    </xf>
    <xf numFmtId="166" fontId="22" fillId="0" borderId="35" xfId="0" applyNumberFormat="1" applyFont="1" applyBorder="1" applyAlignment="1">
      <alignment horizontal="right"/>
    </xf>
    <xf numFmtId="166" fontId="22" fillId="0" borderId="8" xfId="0" applyNumberFormat="1" applyFont="1" applyBorder="1" applyAlignment="1">
      <alignment horizontal="right"/>
    </xf>
    <xf numFmtId="0" fontId="38" fillId="0" borderId="0" xfId="0" applyFont="1" applyAlignment="1">
      <alignment horizontal="left"/>
    </xf>
    <xf numFmtId="166" fontId="22" fillId="0" borderId="4" xfId="0" applyNumberFormat="1" applyFont="1" applyBorder="1" applyAlignment="1">
      <alignment horizontal="left"/>
    </xf>
    <xf numFmtId="166" fontId="22" fillId="0" borderId="0" xfId="0" applyNumberFormat="1" applyFont="1" applyAlignment="1">
      <alignment horizontal="left"/>
    </xf>
    <xf numFmtId="166" fontId="12" fillId="0" borderId="28" xfId="0" applyNumberFormat="1" applyFont="1" applyBorder="1" applyAlignment="1" applyProtection="1">
      <alignment horizontal="center"/>
      <protection locked="0"/>
    </xf>
    <xf numFmtId="166" fontId="12" fillId="0" borderId="29" xfId="0" applyNumberFormat="1" applyFont="1" applyBorder="1" applyAlignment="1" applyProtection="1">
      <alignment horizontal="center"/>
      <protection locked="0"/>
    </xf>
    <xf numFmtId="166" fontId="22" fillId="0" borderId="58" xfId="0" applyNumberFormat="1" applyFont="1" applyBorder="1" applyAlignment="1">
      <alignment horizontal="center"/>
    </xf>
    <xf numFmtId="166" fontId="22" fillId="0" borderId="34" xfId="0" applyNumberFormat="1" applyFont="1" applyBorder="1" applyAlignment="1">
      <alignment horizontal="center"/>
    </xf>
    <xf numFmtId="166" fontId="22" fillId="0" borderId="28" xfId="0" applyNumberFormat="1" applyFont="1" applyBorder="1" applyAlignment="1">
      <alignment horizontal="center"/>
    </xf>
    <xf numFmtId="166" fontId="22" fillId="0" borderId="29" xfId="0" applyNumberFormat="1" applyFont="1" applyBorder="1" applyAlignment="1">
      <alignment horizontal="center"/>
    </xf>
    <xf numFmtId="166" fontId="22" fillId="0" borderId="29" xfId="0" applyNumberFormat="1" applyFont="1" applyBorder="1" applyAlignment="1" applyProtection="1">
      <alignment horizontal="center"/>
      <protection locked="0"/>
    </xf>
    <xf numFmtId="166" fontId="22" fillId="0" borderId="30" xfId="0" applyNumberFormat="1" applyFont="1" applyBorder="1" applyAlignment="1" applyProtection="1">
      <alignment horizontal="center"/>
      <protection locked="0"/>
    </xf>
    <xf numFmtId="0" fontId="55" fillId="15" borderId="0" xfId="0" applyFont="1" applyFill="1" applyAlignment="1">
      <alignment horizontal="left" vertical="distributed"/>
    </xf>
    <xf numFmtId="0" fontId="11" fillId="15" borderId="0" xfId="0" applyFont="1" applyFill="1"/>
    <xf numFmtId="0" fontId="0" fillId="0" borderId="0" xfId="0"/>
    <xf numFmtId="0" fontId="55" fillId="0" borderId="0" xfId="0" applyFont="1" applyAlignment="1">
      <alignment horizontal="center"/>
    </xf>
    <xf numFmtId="168" fontId="22" fillId="15" borderId="0" xfId="0" applyNumberFormat="1" applyFont="1" applyFill="1" applyAlignment="1">
      <alignment horizontal="left" vertical="center"/>
    </xf>
    <xf numFmtId="0" fontId="22" fillId="15" borderId="0" xfId="0" applyFont="1" applyFill="1"/>
    <xf numFmtId="0" fontId="22" fillId="15" borderId="0" xfId="0" applyFont="1" applyFill="1" applyAlignment="1">
      <alignment horizontal="right" vertical="center"/>
    </xf>
    <xf numFmtId="168" fontId="22" fillId="15" borderId="0" xfId="0" applyNumberFormat="1" applyFont="1" applyFill="1" applyAlignment="1">
      <alignment horizontal="right"/>
    </xf>
    <xf numFmtId="168" fontId="22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51"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DCE6F1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ill>
        <patternFill>
          <bgColor rgb="FFFF0000"/>
        </patternFill>
      </fill>
    </dxf>
    <dxf>
      <fill>
        <patternFill>
          <bgColor rgb="FFDCE6F1"/>
        </patternFill>
      </fill>
    </dxf>
    <dxf>
      <fill>
        <patternFill>
          <bgColor rgb="FFFF99CC"/>
        </patternFill>
      </fill>
    </dxf>
    <dxf>
      <fill>
        <patternFill>
          <bgColor rgb="FFFF000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ill>
        <patternFill>
          <bgColor rgb="FFFFFF00"/>
        </patternFill>
      </fill>
    </dxf>
    <dxf>
      <fill>
        <patternFill>
          <bgColor rgb="FFFF99CC"/>
        </patternFill>
      </fill>
    </dxf>
    <dxf>
      <fill>
        <patternFill>
          <bgColor rgb="FFFFFF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border>
        <left/>
        <right/>
        <top/>
        <bottom/>
        <vertical/>
        <horizontal/>
      </border>
    </dxf>
    <dxf>
      <fill>
        <patternFill>
          <bgColor rgb="FFFF99CC"/>
        </patternFill>
      </fill>
    </dxf>
    <dxf>
      <border>
        <left/>
        <right/>
        <top/>
        <bottom/>
        <vertical/>
        <horizontal/>
      </border>
    </dxf>
    <dxf>
      <fill>
        <patternFill>
          <bgColor rgb="FFFF0000"/>
        </patternFill>
      </fill>
    </dxf>
    <dxf>
      <fill>
        <patternFill>
          <bgColor rgb="FFDCE6F1"/>
        </patternFill>
      </fill>
    </dxf>
    <dxf>
      <fill>
        <patternFill>
          <bgColor rgb="FFFF0000"/>
        </patternFill>
      </fill>
    </dxf>
    <dxf>
      <fill>
        <patternFill>
          <bgColor rgb="FFDCE6F1"/>
        </patternFill>
      </fill>
    </dxf>
    <dxf>
      <border>
        <left/>
        <right/>
        <top/>
        <bottom/>
        <vertical/>
        <horizontal/>
      </border>
    </dxf>
    <dxf>
      <fill>
        <patternFill>
          <bgColor rgb="FFFF99CC"/>
        </patternFill>
      </fill>
    </dxf>
    <dxf>
      <fill>
        <patternFill>
          <bgColor rgb="FF70FFCC"/>
        </patternFill>
      </fill>
    </dxf>
    <dxf>
      <border>
        <left/>
        <right/>
        <top/>
        <bottom/>
        <vertical/>
        <horizontal/>
      </border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ill>
        <patternFill>
          <bgColor rgb="FF70FFCC"/>
        </patternFill>
      </fill>
    </dxf>
    <dxf>
      <fill>
        <patternFill>
          <bgColor rgb="FF70FF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28EC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FFCC"/>
        </patternFill>
      </fill>
    </dxf>
    <dxf>
      <fill>
        <patternFill>
          <bgColor rgb="FF70FFCC"/>
        </patternFill>
      </fill>
    </dxf>
    <dxf>
      <numFmt numFmtId="164" formatCode=";;;"/>
    </dxf>
    <dxf>
      <numFmt numFmtId="164" formatCode=";;;"/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rgb="FF70FFCC"/>
        </patternFill>
      </fill>
    </dxf>
    <dxf>
      <fill>
        <patternFill>
          <bgColor rgb="FF538DD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538DD5"/>
      <color rgb="FFF28EC7"/>
      <color rgb="FFFF00FF"/>
      <color rgb="FF70FFCC"/>
      <color rgb="FFCC00CC"/>
      <color rgb="FFFFFF00"/>
      <color rgb="FF66FFCC"/>
      <color rgb="FF0000FF"/>
      <color rgb="FF800080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below threshold</c:v>
          </c:tx>
          <c:invertIfNegative val="0"/>
          <c:dLbls>
            <c:delete val="1"/>
          </c:dLbls>
          <c:cat>
            <c:strRef>
              <c:f>'replacement of cases'!$A$23</c:f>
              <c:strCache>
                <c:ptCount val="1"/>
                <c:pt idx="0">
                  <c:v>% bias to invalidate</c:v>
                </c:pt>
              </c:strCache>
            </c:strRef>
          </c:cat>
          <c:val>
            <c:numRef>
              <c:f>'replacement of cases'!$A$24</c:f>
              <c:numCache>
                <c:formatCode>0.00</c:formatCode>
                <c:ptCount val="1"/>
                <c:pt idx="0">
                  <c:v>1.3329930665628049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3-4933-97C8-0229165A3087}"/>
            </c:ext>
          </c:extLst>
        </c:ser>
        <c:ser>
          <c:idx val="1"/>
          <c:order val="1"/>
          <c:tx>
            <c:v>above threshold</c:v>
          </c:tx>
          <c:invertIfNegative val="0"/>
          <c:dLbls>
            <c:delete val="1"/>
          </c:dLbls>
          <c:cat>
            <c:strRef>
              <c:f>'replacement of cases'!$A$23</c:f>
              <c:strCache>
                <c:ptCount val="1"/>
                <c:pt idx="0">
                  <c:v>% bias to invalidate</c:v>
                </c:pt>
              </c:strCache>
            </c:strRef>
          </c:cat>
          <c:val>
            <c:numRef>
              <c:f>'replacement of cases'!$A$25</c:f>
              <c:numCache>
                <c:formatCode>0.00</c:formatCode>
                <c:ptCount val="1"/>
                <c:pt idx="0">
                  <c:v>7.6770069334371946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3-4933-97C8-0229165A30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4223360"/>
        <c:axId val="191572800"/>
      </c:barChart>
      <c:catAx>
        <c:axId val="13422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572800"/>
        <c:crosses val="autoZero"/>
        <c:auto val="1"/>
        <c:lblAlgn val="ctr"/>
        <c:lblOffset val="100"/>
        <c:noMultiLvlLbl val="0"/>
      </c:catAx>
      <c:valAx>
        <c:axId val="1915728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Estimated Effect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13422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QTEMOS versus Correlation</a:t>
            </a:r>
            <a:r>
              <a:rPr lang="en-US" baseline="0"/>
              <a:t> Between Treatment and Outcome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'effective n'!$B$79</c:f>
              <c:strCache>
                <c:ptCount val="1"/>
                <c:pt idx="0">
                  <c:v>QTEMOS</c:v>
                </c:pt>
              </c:strCache>
            </c:strRef>
          </c:tx>
          <c:marker>
            <c:symbol val="none"/>
          </c:marker>
          <c:xVal>
            <c:numRef>
              <c:f>'effective n'!$A$80:$A$101</c:f>
              <c:numCache>
                <c:formatCode>General</c:formatCode>
                <c:ptCount val="2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xVal>
          <c:yVal>
            <c:numRef>
              <c:f>'effective n'!$B$80:$B$101</c:f>
              <c:numCache>
                <c:formatCode>General</c:formatCode>
                <c:ptCount val="22"/>
                <c:pt idx="0">
                  <c:v>9.5393920141694573E-4</c:v>
                </c:pt>
                <c:pt idx="1">
                  <c:v>1.3490737563232043E-3</c:v>
                </c:pt>
                <c:pt idx="2">
                  <c:v>1.6522711641858306E-3</c:v>
                </c:pt>
                <c:pt idx="3">
                  <c:v>1.9078784028338915E-3</c:v>
                </c:pt>
                <c:pt idx="4">
                  <c:v>2.3366642891095844E-3</c:v>
                </c:pt>
                <c:pt idx="5">
                  <c:v>2.6981475126464085E-3</c:v>
                </c:pt>
                <c:pt idx="6">
                  <c:v>3.0166206257996714E-3</c:v>
                </c:pt>
                <c:pt idx="7">
                  <c:v>3.3045423283716612E-3</c:v>
                </c:pt>
                <c:pt idx="8">
                  <c:v>3.5693136595149493E-3</c:v>
                </c:pt>
                <c:pt idx="9">
                  <c:v>3.8157568056677829E-3</c:v>
                </c:pt>
                <c:pt idx="10">
                  <c:v>4.0472212689696124E-3</c:v>
                </c:pt>
                <c:pt idx="11">
                  <c:v>4.2661458015403088E-3</c:v>
                </c:pt>
                <c:pt idx="12">
                  <c:v>4.474371464239419E-3</c:v>
                </c:pt>
                <c:pt idx="13">
                  <c:v>4.6733285782191688E-3</c:v>
                </c:pt>
                <c:pt idx="14">
                  <c:v>4.8641546028061235E-3</c:v>
                </c:pt>
                <c:pt idx="15">
                  <c:v>5.0477717856495848E-3</c:v>
                </c:pt>
                <c:pt idx="16">
                  <c:v>5.2249401910452525E-3</c:v>
                </c:pt>
                <c:pt idx="17">
                  <c:v>5.3962950252928171E-3</c:v>
                </c:pt>
                <c:pt idx="18">
                  <c:v>5.5623735940693517E-3</c:v>
                </c:pt>
                <c:pt idx="19">
                  <c:v>5.7236352085016746E-3</c:v>
                </c:pt>
                <c:pt idx="20">
                  <c:v>5.8804761711956626E-3</c:v>
                </c:pt>
                <c:pt idx="21">
                  <c:v>6.0332412515993429E-3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6-4DCB-941E-5381353DF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89184"/>
        <c:axId val="193592640"/>
      </c:scatterChart>
      <c:valAx>
        <c:axId val="19358918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  <a:r>
                  <a:rPr lang="en-US" baseline="0"/>
                  <a:t> between Treatment and Outcome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92640"/>
        <c:crosses val="autoZero"/>
        <c:crossBetween val="midCat"/>
        <c:majorUnit val="0.1"/>
      </c:valAx>
      <c:valAx>
        <c:axId val="193592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Quality Threshold for an Estimated Model in an Observational Study</a:t>
                </a:r>
                <a:endParaRPr lang="en-US" u="none"/>
              </a:p>
            </c:rich>
          </c:tx>
          <c:layout>
            <c:manualLayout>
              <c:xMode val="edge"/>
              <c:yMode val="edge"/>
              <c:x val="2.4521072796934867E-2"/>
              <c:y val="0.145518018317506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358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Size of a Hypothetical Randomized Experiment </a:t>
            </a:r>
            <a:r>
              <a:rPr lang="en-US" baseline="0"/>
              <a:t>as a Function of Impact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'effective n'!$B$21</c:f>
              <c:strCache>
                <c:ptCount val="1"/>
                <c:pt idx="0">
                  <c:v>effective n</c:v>
                </c:pt>
              </c:strCache>
            </c:strRef>
          </c:tx>
          <c:marker>
            <c:symbol val="none"/>
          </c:marker>
          <c:xVal>
            <c:numRef>
              <c:f>'effective n'!$A$22:$A$53</c:f>
              <c:numCache>
                <c:formatCode>General</c:formatCode>
                <c:ptCount val="32"/>
                <c:pt idx="0">
                  <c:v>1E-3</c:v>
                </c:pt>
                <c:pt idx="1">
                  <c:v>1.1999999999999999E-3</c:v>
                </c:pt>
                <c:pt idx="2">
                  <c:v>1.4E-3</c:v>
                </c:pt>
                <c:pt idx="3">
                  <c:v>1.6000000000000001E-3</c:v>
                </c:pt>
                <c:pt idx="4">
                  <c:v>1.8E-3</c:v>
                </c:pt>
                <c:pt idx="5">
                  <c:v>2E-3</c:v>
                </c:pt>
                <c:pt idx="6">
                  <c:v>2.2000000000000001E-3</c:v>
                </c:pt>
                <c:pt idx="7">
                  <c:v>2.3999999999999998E-3</c:v>
                </c:pt>
                <c:pt idx="8">
                  <c:v>2.5999999999999999E-3</c:v>
                </c:pt>
                <c:pt idx="9">
                  <c:v>2.8E-3</c:v>
                </c:pt>
                <c:pt idx="10">
                  <c:v>3.0000000000000001E-3</c:v>
                </c:pt>
                <c:pt idx="11">
                  <c:v>3.2000000000000002E-3</c:v>
                </c:pt>
                <c:pt idx="12">
                  <c:v>3.3999999999999998E-3</c:v>
                </c:pt>
                <c:pt idx="13">
                  <c:v>3.5999999999999999E-3</c:v>
                </c:pt>
                <c:pt idx="14">
                  <c:v>3.8E-3</c:v>
                </c:pt>
                <c:pt idx="15">
                  <c:v>4.0000000000000001E-3</c:v>
                </c:pt>
                <c:pt idx="16">
                  <c:v>4.1999999999999997E-3</c:v>
                </c:pt>
                <c:pt idx="17">
                  <c:v>4.4000000000000003E-3</c:v>
                </c:pt>
                <c:pt idx="18">
                  <c:v>4.5999999999999999E-3</c:v>
                </c:pt>
                <c:pt idx="19">
                  <c:v>4.7999999999999996E-3</c:v>
                </c:pt>
                <c:pt idx="20">
                  <c:v>5.0000000000000001E-3</c:v>
                </c:pt>
                <c:pt idx="21">
                  <c:v>#N/A</c:v>
                </c:pt>
                <c:pt idx="22">
                  <c:v>#N/A</c:v>
                </c:pt>
                <c:pt idx="24">
                  <c:v>3.2489998461064902E-3</c:v>
                </c:pt>
                <c:pt idx="25">
                  <c:v>3.2489998461064902E-3</c:v>
                </c:pt>
                <c:pt idx="27">
                  <c:v>1.9800000000000002E-2</c:v>
                </c:pt>
                <c:pt idx="28">
                  <c:v>2.0199999999999999E-2</c:v>
                </c:pt>
                <c:pt idx="30">
                  <c:v>1.9800000000000002E-2</c:v>
                </c:pt>
                <c:pt idx="31">
                  <c:v>2.0199999999999999E-2</c:v>
                </c:pt>
              </c:numCache>
            </c:numRef>
          </c:xVal>
          <c:yVal>
            <c:numRef>
              <c:f>'effective n'!$B$22:$B$53</c:f>
              <c:numCache>
                <c:formatCode>General</c:formatCode>
                <c:ptCount val="32"/>
                <c:pt idx="0">
                  <c:v>257.89999999999998</c:v>
                </c:pt>
                <c:pt idx="1">
                  <c:v>213.91666666666666</c:v>
                </c:pt>
                <c:pt idx="2">
                  <c:v>182.49999999999997</c:v>
                </c:pt>
                <c:pt idx="3">
                  <c:v>158.93749999999997</c:v>
                </c:pt>
                <c:pt idx="4">
                  <c:v>140.61111111111109</c:v>
                </c:pt>
                <c:pt idx="5">
                  <c:v>125.94999999999999</c:v>
                </c:pt>
                <c:pt idx="6">
                  <c:v>113.95454545454544</c:v>
                </c:pt>
                <c:pt idx="7">
                  <c:v>103.95833333333333</c:v>
                </c:pt>
                <c:pt idx="8">
                  <c:v>95.499999999999986</c:v>
                </c:pt>
                <c:pt idx="9">
                  <c:v>88.249999999999986</c:v>
                </c:pt>
                <c:pt idx="10">
                  <c:v>81.966666666666654</c:v>
                </c:pt>
                <c:pt idx="11">
                  <c:v>76.468749999999986</c:v>
                </c:pt>
                <c:pt idx="12">
                  <c:v>71.617647058823522</c:v>
                </c:pt>
                <c:pt idx="13">
                  <c:v>67.305555555555543</c:v>
                </c:pt>
                <c:pt idx="14">
                  <c:v>63.44736842105263</c:v>
                </c:pt>
                <c:pt idx="15">
                  <c:v>59.974999999999994</c:v>
                </c:pt>
                <c:pt idx="16">
                  <c:v>56.833333333333329</c:v>
                </c:pt>
                <c:pt idx="17">
                  <c:v>53.97727272727272</c:v>
                </c:pt>
                <c:pt idx="18">
                  <c:v>51.369565217391298</c:v>
                </c:pt>
                <c:pt idx="19">
                  <c:v>48.979166666666664</c:v>
                </c:pt>
                <c:pt idx="20">
                  <c:v>46.779999999999994</c:v>
                </c:pt>
                <c:pt idx="21">
                  <c:v>#N/A</c:v>
                </c:pt>
                <c:pt idx="22">
                  <c:v>#N/A</c:v>
                </c:pt>
                <c:pt idx="24">
                  <c:v>75.224996152662271</c:v>
                </c:pt>
                <c:pt idx="25">
                  <c:v>75.224996152662271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C-42BF-95DD-C686B61BE092}"/>
            </c:ext>
          </c:extLst>
        </c:ser>
        <c:ser>
          <c:idx val="1"/>
          <c:order val="1"/>
          <c:tx>
            <c:strRef>
              <c:f>'effective n'!$C$21</c:f>
              <c:strCache>
                <c:ptCount val="1"/>
                <c:pt idx="0">
                  <c:v>threshold</c:v>
                </c:pt>
              </c:strCache>
            </c:strRef>
          </c:tx>
          <c:marker>
            <c:symbol val="none"/>
          </c:marker>
          <c:xVal>
            <c:numRef>
              <c:f>'effective n'!$A$22:$A$53</c:f>
              <c:numCache>
                <c:formatCode>General</c:formatCode>
                <c:ptCount val="32"/>
                <c:pt idx="0">
                  <c:v>1E-3</c:v>
                </c:pt>
                <c:pt idx="1">
                  <c:v>1.1999999999999999E-3</c:v>
                </c:pt>
                <c:pt idx="2">
                  <c:v>1.4E-3</c:v>
                </c:pt>
                <c:pt idx="3">
                  <c:v>1.6000000000000001E-3</c:v>
                </c:pt>
                <c:pt idx="4">
                  <c:v>1.8E-3</c:v>
                </c:pt>
                <c:pt idx="5">
                  <c:v>2E-3</c:v>
                </c:pt>
                <c:pt idx="6">
                  <c:v>2.2000000000000001E-3</c:v>
                </c:pt>
                <c:pt idx="7">
                  <c:v>2.3999999999999998E-3</c:v>
                </c:pt>
                <c:pt idx="8">
                  <c:v>2.5999999999999999E-3</c:v>
                </c:pt>
                <c:pt idx="9">
                  <c:v>2.8E-3</c:v>
                </c:pt>
                <c:pt idx="10">
                  <c:v>3.0000000000000001E-3</c:v>
                </c:pt>
                <c:pt idx="11">
                  <c:v>3.2000000000000002E-3</c:v>
                </c:pt>
                <c:pt idx="12">
                  <c:v>3.3999999999999998E-3</c:v>
                </c:pt>
                <c:pt idx="13">
                  <c:v>3.5999999999999999E-3</c:v>
                </c:pt>
                <c:pt idx="14">
                  <c:v>3.8E-3</c:v>
                </c:pt>
                <c:pt idx="15">
                  <c:v>4.0000000000000001E-3</c:v>
                </c:pt>
                <c:pt idx="16">
                  <c:v>4.1999999999999997E-3</c:v>
                </c:pt>
                <c:pt idx="17">
                  <c:v>4.4000000000000003E-3</c:v>
                </c:pt>
                <c:pt idx="18">
                  <c:v>4.5999999999999999E-3</c:v>
                </c:pt>
                <c:pt idx="19">
                  <c:v>4.7999999999999996E-3</c:v>
                </c:pt>
                <c:pt idx="20">
                  <c:v>5.0000000000000001E-3</c:v>
                </c:pt>
                <c:pt idx="21">
                  <c:v>#N/A</c:v>
                </c:pt>
                <c:pt idx="22">
                  <c:v>#N/A</c:v>
                </c:pt>
                <c:pt idx="24">
                  <c:v>3.2489998461064902E-3</c:v>
                </c:pt>
                <c:pt idx="25">
                  <c:v>3.2489998461064902E-3</c:v>
                </c:pt>
                <c:pt idx="27">
                  <c:v>1.9800000000000002E-2</c:v>
                </c:pt>
                <c:pt idx="28">
                  <c:v>2.0199999999999999E-2</c:v>
                </c:pt>
                <c:pt idx="30">
                  <c:v>1.9800000000000002E-2</c:v>
                </c:pt>
                <c:pt idx="31">
                  <c:v>2.0199999999999999E-2</c:v>
                </c:pt>
              </c:numCache>
            </c:numRef>
          </c:xVal>
          <c:yVal>
            <c:numRef>
              <c:f>'effective n'!$C$22:$C$53</c:f>
              <c:numCache>
                <c:formatCode>General</c:formatCode>
                <c:ptCount val="32"/>
                <c:pt idx="24">
                  <c:v>0</c:v>
                </c:pt>
                <c:pt idx="25">
                  <c:v>257.89999999999998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C-42BF-95DD-C686B61BE092}"/>
            </c:ext>
          </c:extLst>
        </c:ser>
        <c:ser>
          <c:idx val="2"/>
          <c:order val="2"/>
          <c:tx>
            <c:strRef>
              <c:f>'effective n'!$D$21</c:f>
              <c:strCache>
                <c:ptCount val="1"/>
                <c:pt idx="0">
                  <c:v>observed value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'effective n'!$A$22:$A$53</c:f>
              <c:numCache>
                <c:formatCode>General</c:formatCode>
                <c:ptCount val="32"/>
                <c:pt idx="0">
                  <c:v>1E-3</c:v>
                </c:pt>
                <c:pt idx="1">
                  <c:v>1.1999999999999999E-3</c:v>
                </c:pt>
                <c:pt idx="2">
                  <c:v>1.4E-3</c:v>
                </c:pt>
                <c:pt idx="3">
                  <c:v>1.6000000000000001E-3</c:v>
                </c:pt>
                <c:pt idx="4">
                  <c:v>1.8E-3</c:v>
                </c:pt>
                <c:pt idx="5">
                  <c:v>2E-3</c:v>
                </c:pt>
                <c:pt idx="6">
                  <c:v>2.2000000000000001E-3</c:v>
                </c:pt>
                <c:pt idx="7">
                  <c:v>2.3999999999999998E-3</c:v>
                </c:pt>
                <c:pt idx="8">
                  <c:v>2.5999999999999999E-3</c:v>
                </c:pt>
                <c:pt idx="9">
                  <c:v>2.8E-3</c:v>
                </c:pt>
                <c:pt idx="10">
                  <c:v>3.0000000000000001E-3</c:v>
                </c:pt>
                <c:pt idx="11">
                  <c:v>3.2000000000000002E-3</c:v>
                </c:pt>
                <c:pt idx="12">
                  <c:v>3.3999999999999998E-3</c:v>
                </c:pt>
                <c:pt idx="13">
                  <c:v>3.5999999999999999E-3</c:v>
                </c:pt>
                <c:pt idx="14">
                  <c:v>3.8E-3</c:v>
                </c:pt>
                <c:pt idx="15">
                  <c:v>4.0000000000000001E-3</c:v>
                </c:pt>
                <c:pt idx="16">
                  <c:v>4.1999999999999997E-3</c:v>
                </c:pt>
                <c:pt idx="17">
                  <c:v>4.4000000000000003E-3</c:v>
                </c:pt>
                <c:pt idx="18">
                  <c:v>4.5999999999999999E-3</c:v>
                </c:pt>
                <c:pt idx="19">
                  <c:v>4.7999999999999996E-3</c:v>
                </c:pt>
                <c:pt idx="20">
                  <c:v>5.0000000000000001E-3</c:v>
                </c:pt>
                <c:pt idx="21">
                  <c:v>#N/A</c:v>
                </c:pt>
                <c:pt idx="22">
                  <c:v>#N/A</c:v>
                </c:pt>
                <c:pt idx="24">
                  <c:v>3.2489998461064902E-3</c:v>
                </c:pt>
                <c:pt idx="25">
                  <c:v>3.2489998461064902E-3</c:v>
                </c:pt>
                <c:pt idx="27">
                  <c:v>1.9800000000000002E-2</c:v>
                </c:pt>
                <c:pt idx="28">
                  <c:v>2.0199999999999999E-2</c:v>
                </c:pt>
                <c:pt idx="30">
                  <c:v>1.9800000000000002E-2</c:v>
                </c:pt>
                <c:pt idx="31">
                  <c:v>2.0199999999999999E-2</c:v>
                </c:pt>
              </c:numCache>
            </c:numRef>
          </c:xVal>
          <c:yVal>
            <c:numRef>
              <c:f>'effective n'!$D$22:$D$53</c:f>
              <c:numCache>
                <c:formatCode>General</c:formatCode>
                <c:ptCount val="32"/>
                <c:pt idx="27">
                  <c:v>-29.195</c:v>
                </c:pt>
                <c:pt idx="28">
                  <c:v>-9.1950000000000003</c:v>
                </c:pt>
                <c:pt idx="30">
                  <c:v>-9.1950000000000003</c:v>
                </c:pt>
                <c:pt idx="31">
                  <c:v>-29.195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9C-42BF-95DD-C686B61BE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01792"/>
        <c:axId val="197002368"/>
      </c:scatterChart>
      <c:valAx>
        <c:axId val="19700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Impact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002368"/>
        <c:crosses val="autoZero"/>
        <c:crossBetween val="midCat"/>
      </c:valAx>
      <c:valAx>
        <c:axId val="19700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</a:t>
                </a:r>
                <a:r>
                  <a:rPr lang="en-US" baseline="0"/>
                  <a:t> Size of a Hypothetical Randomized Experiment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001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below threshold</c:v>
          </c:tx>
          <c:invertIfNegative val="0"/>
          <c:cat>
            <c:strRef>
              <c:f>'replacement of cases'!$B$22:$B$23</c:f>
              <c:strCache>
                <c:ptCount val="2"/>
                <c:pt idx="0">
                  <c:v>% bias to invalidate</c:v>
                </c:pt>
                <c:pt idx="1">
                  <c:v>% bias to invalidate</c:v>
                </c:pt>
              </c:strCache>
            </c:strRef>
          </c:cat>
          <c:val>
            <c:numRef>
              <c:f>'replacement of cases'!$B$24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F-4BF5-8FDB-E15C7FBD120A}"/>
            </c:ext>
          </c:extLst>
        </c:ser>
        <c:ser>
          <c:idx val="1"/>
          <c:order val="1"/>
          <c:tx>
            <c:v>above threshold</c:v>
          </c:tx>
          <c:invertIfNegative val="0"/>
          <c:cat>
            <c:strRef>
              <c:f>'replacement of cases'!$B$22:$B$23</c:f>
              <c:strCache>
                <c:ptCount val="2"/>
                <c:pt idx="0">
                  <c:v>% bias to invalidate</c:v>
                </c:pt>
                <c:pt idx="1">
                  <c:v>% bias to invalidate</c:v>
                </c:pt>
              </c:strCache>
            </c:strRef>
          </c:cat>
          <c:val>
            <c:numRef>
              <c:f>'replacement of cases'!$B$25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F-4BF5-8FDB-E15C7FBD1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558976"/>
        <c:axId val="191575104"/>
      </c:barChart>
      <c:catAx>
        <c:axId val="18655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575104"/>
        <c:crosses val="autoZero"/>
        <c:auto val="1"/>
        <c:lblAlgn val="ctr"/>
        <c:lblOffset val="100"/>
        <c:noMultiLvlLbl val="0"/>
      </c:catAx>
      <c:valAx>
        <c:axId val="1915751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Estimated</a:t>
                </a:r>
              </a:p>
              <a:p>
                <a:pPr>
                  <a:defRPr/>
                </a:pPr>
                <a:r>
                  <a:rPr lang="en-US"/>
                  <a:t>Effect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18655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below threshold</c:v>
          </c:tx>
          <c:invertIfNegative val="0"/>
          <c:cat>
            <c:strRef>
              <c:f>'replacement of cases'!$B$22:$B$23</c:f>
              <c:strCache>
                <c:ptCount val="2"/>
                <c:pt idx="0">
                  <c:v>% bias to invalidate</c:v>
                </c:pt>
                <c:pt idx="1">
                  <c:v>% bias to invalidate</c:v>
                </c:pt>
              </c:strCache>
            </c:strRef>
          </c:cat>
          <c:val>
            <c:numRef>
              <c:f>'replacement of cases'!$I$23</c:f>
              <c:numCache>
                <c:formatCode>0.00</c:formatCode>
                <c:ptCount val="1"/>
                <c:pt idx="0">
                  <c:v>2.275734682169802E-2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0-4F1C-B7BD-A8EA3C948295}"/>
            </c:ext>
          </c:extLst>
        </c:ser>
        <c:ser>
          <c:idx val="1"/>
          <c:order val="1"/>
          <c:tx>
            <c:v>above threshold</c:v>
          </c:tx>
          <c:invertIfNegative val="0"/>
          <c:cat>
            <c:strRef>
              <c:f>'replacement of cases'!$B$22:$B$23</c:f>
              <c:strCache>
                <c:ptCount val="2"/>
                <c:pt idx="0">
                  <c:v>% bias to invalidate</c:v>
                </c:pt>
                <c:pt idx="1">
                  <c:v>% bias to invalidate</c:v>
                </c:pt>
              </c:strCache>
            </c:strRef>
          </c:cat>
          <c:val>
            <c:numRef>
              <c:f>'replacement of cases'!$I$24</c:f>
              <c:numCache>
                <c:formatCode>0.00</c:formatCode>
                <c:ptCount val="1"/>
                <c:pt idx="0">
                  <c:v>0.1293150154781556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0-4F1C-B7BD-A8EA3C948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979520"/>
        <c:axId val="191576832"/>
      </c:barChart>
      <c:catAx>
        <c:axId val="19197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576832"/>
        <c:crosses val="autoZero"/>
        <c:auto val="1"/>
        <c:lblAlgn val="ctr"/>
        <c:lblOffset val="100"/>
        <c:noMultiLvlLbl val="0"/>
      </c:catAx>
      <c:valAx>
        <c:axId val="1915768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Estimated</a:t>
                </a:r>
              </a:p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19197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below threshold</c:v>
          </c:tx>
          <c:invertIfNegative val="0"/>
          <c:dLbls>
            <c:delete val="1"/>
          </c:dLbls>
          <c:cat>
            <c:strRef>
              <c:f>'replacement of cases'!$A$47</c:f>
              <c:strCache>
                <c:ptCount val="1"/>
                <c:pt idx="0">
                  <c:v>% bias to invalidate</c:v>
                </c:pt>
              </c:strCache>
            </c:strRef>
          </c:cat>
          <c:val>
            <c:numRef>
              <c:f>'replacement of cases'!$A$49</c:f>
              <c:numCache>
                <c:formatCode>0.00</c:formatCode>
                <c:ptCount val="1"/>
                <c:pt idx="0">
                  <c:v>2.7275447347621133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1-4B66-870E-693ACBD4E962}"/>
            </c:ext>
          </c:extLst>
        </c:ser>
        <c:ser>
          <c:idx val="1"/>
          <c:order val="1"/>
          <c:tx>
            <c:v>above threshold</c:v>
          </c:tx>
          <c:invertIfNegative val="0"/>
          <c:dLbls>
            <c:delete val="1"/>
          </c:dLbls>
          <c:cat>
            <c:strRef>
              <c:f>'replacement of cases'!$A$47</c:f>
              <c:strCache>
                <c:ptCount val="1"/>
                <c:pt idx="0">
                  <c:v>% bias to invalidate</c:v>
                </c:pt>
              </c:strCache>
            </c:strRef>
          </c:cat>
          <c:val>
            <c:numRef>
              <c:f>'replacement of cases'!$A$48</c:f>
              <c:numCache>
                <c:formatCode>0.00</c:formatCode>
                <c:ptCount val="1"/>
                <c:pt idx="0">
                  <c:v>6.2824552652378864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1-4B66-870E-693ACBD4E9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980032"/>
        <c:axId val="50954240"/>
      </c:barChart>
      <c:catAx>
        <c:axId val="19198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54240"/>
        <c:crosses val="autoZero"/>
        <c:auto val="1"/>
        <c:lblAlgn val="ctr"/>
        <c:lblOffset val="100"/>
        <c:noMultiLvlLbl val="0"/>
      </c:catAx>
      <c:valAx>
        <c:axId val="509542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Estimated Effect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19198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% below threshold</c:v>
          </c:tx>
          <c:invertIfNegative val="0"/>
          <c:cat>
            <c:strLit>
              <c:ptCount val="1"/>
              <c:pt idx="0">
                <c:v>Estimate</c:v>
              </c:pt>
            </c:strLit>
          </c:cat>
          <c:val>
            <c:numRef>
              <c:f>'correlation based'!$M$28</c:f>
              <c:numCache>
                <c:formatCode>0.0000</c:formatCode>
                <c:ptCount val="1"/>
                <c:pt idx="0">
                  <c:v>2.275888052317121E-2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0-425A-BEB8-CAB724BA6149}"/>
            </c:ext>
          </c:extLst>
        </c:ser>
        <c:ser>
          <c:idx val="1"/>
          <c:order val="1"/>
          <c:tx>
            <c:v>% above threshold</c:v>
          </c:tx>
          <c:invertIfNegative val="0"/>
          <c:cat>
            <c:strLit>
              <c:ptCount val="1"/>
              <c:pt idx="0">
                <c:v>Estimate</c:v>
              </c:pt>
            </c:strLit>
          </c:cat>
          <c:val>
            <c:numRef>
              <c:f>'correlation based'!$M$29</c:f>
              <c:numCache>
                <c:formatCode>0.0000</c:formatCode>
                <c:ptCount val="1"/>
                <c:pt idx="0">
                  <c:v>0.12932349864658041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0-425A-BEB8-CAB724BA6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056320"/>
        <c:axId val="50955968"/>
      </c:barChart>
      <c:catAx>
        <c:axId val="19205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55968"/>
        <c:crosses val="autoZero"/>
        <c:auto val="1"/>
        <c:lblAlgn val="ctr"/>
        <c:lblOffset val="100"/>
        <c:noMultiLvlLbl val="0"/>
      </c:catAx>
      <c:valAx>
        <c:axId val="50955968"/>
        <c:scaling>
          <c:orientation val="minMax"/>
          <c:min val="0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9205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Bias to Change Inference by</a:t>
            </a:r>
            <a:r>
              <a:rPr lang="en-US" baseline="0"/>
              <a:t> Threshold Values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'Range of threshol plot'!$B$1</c:f>
              <c:strCache>
                <c:ptCount val="1"/>
                <c:pt idx="0">
                  <c:v>Bias to Remove toInvalidate theInference.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'Range of threshol plot'!$A$2:$A$15</c:f>
              <c:numCache>
                <c:formatCode>General</c:formatCode>
                <c:ptCount val="14"/>
                <c:pt idx="0">
                  <c:v>0</c:v>
                </c:pt>
                <c:pt idx="1">
                  <c:v>-7.6036181149926815E-2</c:v>
                </c:pt>
                <c:pt idx="2">
                  <c:v>-0.15207236229985363</c:v>
                </c:pt>
                <c:pt idx="4">
                  <c:v>-2.275734682169802E-2</c:v>
                </c:pt>
                <c:pt idx="5">
                  <c:v>-2.275734682169802E-2</c:v>
                </c:pt>
                <c:pt idx="6">
                  <c:v>-0.15207236229985363</c:v>
                </c:pt>
                <c:pt idx="7">
                  <c:v>-0.15207236229985363</c:v>
                </c:pt>
                <c:pt idx="9">
                  <c:v>0.01</c:v>
                </c:pt>
                <c:pt idx="10">
                  <c:v>0.05</c:v>
                </c:pt>
                <c:pt idx="11">
                  <c:v>0.2</c:v>
                </c:pt>
                <c:pt idx="12">
                  <c:v>2.396381885007319E-2</c:v>
                </c:pt>
                <c:pt idx="13">
                  <c:v>-0.15207236229985363</c:v>
                </c:pt>
              </c:numCache>
            </c:numRef>
          </c:xVal>
          <c:yVal>
            <c:numRef>
              <c:f>'Range of threshol plot'!$B$2:$B$15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03-49ED-A9C6-963096E1ECB2}"/>
            </c:ext>
          </c:extLst>
        </c:ser>
        <c:ser>
          <c:idx val="1"/>
          <c:order val="1"/>
          <c:tx>
            <c:strRef>
              <c:f>'Range of threshol plot'!$C$1</c:f>
              <c:strCache>
                <c:ptCount val="1"/>
                <c:pt idx="0">
                  <c:v>Specified Threshold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'Range of threshol plot'!$A$2:$A$15</c:f>
              <c:numCache>
                <c:formatCode>General</c:formatCode>
                <c:ptCount val="14"/>
                <c:pt idx="0">
                  <c:v>0</c:v>
                </c:pt>
                <c:pt idx="1">
                  <c:v>-7.6036181149926815E-2</c:v>
                </c:pt>
                <c:pt idx="2">
                  <c:v>-0.15207236229985363</c:v>
                </c:pt>
                <c:pt idx="4">
                  <c:v>-2.275734682169802E-2</c:v>
                </c:pt>
                <c:pt idx="5">
                  <c:v>-2.275734682169802E-2</c:v>
                </c:pt>
                <c:pt idx="6">
                  <c:v>-0.15207236229985363</c:v>
                </c:pt>
                <c:pt idx="7">
                  <c:v>-0.15207236229985363</c:v>
                </c:pt>
                <c:pt idx="9">
                  <c:v>0.01</c:v>
                </c:pt>
                <c:pt idx="10">
                  <c:v>0.05</c:v>
                </c:pt>
                <c:pt idx="11">
                  <c:v>0.2</c:v>
                </c:pt>
                <c:pt idx="12">
                  <c:v>2.396381885007319E-2</c:v>
                </c:pt>
                <c:pt idx="13">
                  <c:v>-0.15207236229985363</c:v>
                </c:pt>
              </c:numCache>
            </c:numRef>
          </c:xVal>
          <c:yVal>
            <c:numRef>
              <c:f>'Range of threshol plot'!$C$2:$C$15</c:f>
              <c:numCache>
                <c:formatCode>General</c:formatCode>
                <c:ptCount val="14"/>
                <c:pt idx="4">
                  <c:v>0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03-49ED-A9C6-963096E1ECB2}"/>
            </c:ext>
          </c:extLst>
        </c:ser>
        <c:ser>
          <c:idx val="2"/>
          <c:order val="2"/>
          <c:tx>
            <c:strRef>
              <c:f>'Range of threshol plot'!$D$1</c:f>
              <c:strCache>
                <c:ptCount val="1"/>
                <c:pt idx="0">
                  <c:v>Estimated Effect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'Range of threshol plot'!$A$2:$A$15</c:f>
              <c:numCache>
                <c:formatCode>General</c:formatCode>
                <c:ptCount val="14"/>
                <c:pt idx="0">
                  <c:v>0</c:v>
                </c:pt>
                <c:pt idx="1">
                  <c:v>-7.6036181149926815E-2</c:v>
                </c:pt>
                <c:pt idx="2">
                  <c:v>-0.15207236229985363</c:v>
                </c:pt>
                <c:pt idx="4">
                  <c:v>-2.275734682169802E-2</c:v>
                </c:pt>
                <c:pt idx="5">
                  <c:v>-2.275734682169802E-2</c:v>
                </c:pt>
                <c:pt idx="6">
                  <c:v>-0.15207236229985363</c:v>
                </c:pt>
                <c:pt idx="7">
                  <c:v>-0.15207236229985363</c:v>
                </c:pt>
                <c:pt idx="9">
                  <c:v>0.01</c:v>
                </c:pt>
                <c:pt idx="10">
                  <c:v>0.05</c:v>
                </c:pt>
                <c:pt idx="11">
                  <c:v>0.2</c:v>
                </c:pt>
                <c:pt idx="12">
                  <c:v>2.396381885007319E-2</c:v>
                </c:pt>
                <c:pt idx="13">
                  <c:v>-0.15207236229985363</c:v>
                </c:pt>
              </c:numCache>
            </c:numRef>
          </c:xVal>
          <c:yVal>
            <c:numRef>
              <c:f>'Range of threshol plot'!$D$2:$D$15</c:f>
              <c:numCache>
                <c:formatCode>General</c:formatCode>
                <c:ptCount val="14"/>
                <c:pt idx="6">
                  <c:v>0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03-49ED-A9C6-963096E1ECB2}"/>
            </c:ext>
          </c:extLst>
        </c:ser>
        <c:ser>
          <c:idx val="3"/>
          <c:order val="3"/>
          <c:tx>
            <c:strRef>
              <c:f>'Range of threshol plot'!$E$1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'Range of threshol plot'!$A$2:$A$15</c:f>
              <c:numCache>
                <c:formatCode>General</c:formatCode>
                <c:ptCount val="14"/>
                <c:pt idx="0">
                  <c:v>0</c:v>
                </c:pt>
                <c:pt idx="1">
                  <c:v>-7.6036181149926815E-2</c:v>
                </c:pt>
                <c:pt idx="2">
                  <c:v>-0.15207236229985363</c:v>
                </c:pt>
                <c:pt idx="4">
                  <c:v>-2.275734682169802E-2</c:v>
                </c:pt>
                <c:pt idx="5">
                  <c:v>-2.275734682169802E-2</c:v>
                </c:pt>
                <c:pt idx="6">
                  <c:v>-0.15207236229985363</c:v>
                </c:pt>
                <c:pt idx="7">
                  <c:v>-0.15207236229985363</c:v>
                </c:pt>
                <c:pt idx="9">
                  <c:v>0.01</c:v>
                </c:pt>
                <c:pt idx="10">
                  <c:v>0.05</c:v>
                </c:pt>
                <c:pt idx="11">
                  <c:v>0.2</c:v>
                </c:pt>
                <c:pt idx="12">
                  <c:v>2.396381885007319E-2</c:v>
                </c:pt>
                <c:pt idx="13">
                  <c:v>-0.15207236229985363</c:v>
                </c:pt>
              </c:numCache>
            </c:numRef>
          </c:xVal>
          <c:yVal>
            <c:numRef>
              <c:f>'Range of threshol plot'!$E$2:$E$15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03-49ED-A9C6-963096E1ECB2}"/>
            </c:ext>
          </c:extLst>
        </c:ser>
        <c:ser>
          <c:idx val="4"/>
          <c:order val="4"/>
          <c:tx>
            <c:strRef>
              <c:f>'Range of threshol plot'!$F$1</c:f>
              <c:strCache>
                <c:ptCount val="1"/>
                <c:pt idx="0">
                  <c:v>itcv</c:v>
                </c:pt>
              </c:strCache>
            </c:strRef>
          </c:tx>
          <c:marker>
            <c:symbol val="none"/>
          </c:marker>
          <c:xVal>
            <c:numRef>
              <c:f>'Range of threshol plot'!$A$2:$A$15</c:f>
              <c:numCache>
                <c:formatCode>General</c:formatCode>
                <c:ptCount val="14"/>
                <c:pt idx="0">
                  <c:v>0</c:v>
                </c:pt>
                <c:pt idx="1">
                  <c:v>-7.6036181149926815E-2</c:v>
                </c:pt>
                <c:pt idx="2">
                  <c:v>-0.15207236229985363</c:v>
                </c:pt>
                <c:pt idx="4">
                  <c:v>-2.275734682169802E-2</c:v>
                </c:pt>
                <c:pt idx="5">
                  <c:v>-2.275734682169802E-2</c:v>
                </c:pt>
                <c:pt idx="6">
                  <c:v>-0.15207236229985363</c:v>
                </c:pt>
                <c:pt idx="7">
                  <c:v>-0.15207236229985363</c:v>
                </c:pt>
                <c:pt idx="9">
                  <c:v>0.01</c:v>
                </c:pt>
                <c:pt idx="10">
                  <c:v>0.05</c:v>
                </c:pt>
                <c:pt idx="11">
                  <c:v>0.2</c:v>
                </c:pt>
                <c:pt idx="12">
                  <c:v>2.396381885007319E-2</c:v>
                </c:pt>
                <c:pt idx="13">
                  <c:v>-0.15207236229985363</c:v>
                </c:pt>
              </c:numCache>
            </c:numRef>
          </c:xVal>
          <c:yVal>
            <c:numRef>
              <c:f>'Range of threshol plot'!$F$2:$F$15</c:f>
              <c:numCache>
                <c:formatCode>General</c:formatCode>
                <c:ptCount val="14"/>
                <c:pt idx="9">
                  <c:v>-0.16370945686853902</c:v>
                </c:pt>
                <c:pt idx="10">
                  <c:v>-0.21270774978931964</c:v>
                </c:pt>
                <c:pt idx="11">
                  <c:v>-0.44009045287481702</c:v>
                </c:pt>
                <c:pt idx="12">
                  <c:v>-0.18035825366896543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03-49ED-A9C6-963096E1E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7696"/>
        <c:axId val="50958272"/>
      </c:scatterChart>
      <c:valAx>
        <c:axId val="509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50958272"/>
        <c:crosses val="autoZero"/>
        <c:crossBetween val="midCat"/>
      </c:valAx>
      <c:valAx>
        <c:axId val="5095827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Bias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57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Impact Curve: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Values of Component Correlations Necessary to Invalidate the Inference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90196959642403"/>
          <c:y val="0.24884769037951721"/>
          <c:w val="0.7549845098269321"/>
          <c:h val="0.561246147542118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'impact curve'!$B$35</c:f>
              <c:strCache>
                <c:ptCount val="1"/>
                <c:pt idx="0">
                  <c:v>r(y,cv)</c:v>
                </c:pt>
              </c:strCache>
            </c:strRef>
          </c:tx>
          <c:marker>
            <c:symbol val="none"/>
          </c:marker>
          <c:xVal>
            <c:numRef>
              <c:f>'impact curve'!$A$36:$A$79</c:f>
              <c:numCache>
                <c:formatCode>General</c:formatCode>
                <c:ptCount val="44"/>
                <c:pt idx="0">
                  <c:v>0.15269395233681146</c:v>
                </c:pt>
                <c:pt idx="1">
                  <c:v>0.15809641649360229</c:v>
                </c:pt>
                <c:pt idx="2">
                  <c:v>0.16500910516910858</c:v>
                </c:pt>
                <c:pt idx="3">
                  <c:v>0.17329206178246928</c:v>
                </c:pt>
                <c:pt idx="4">
                  <c:v>0.18304417287509381</c:v>
                </c:pt>
                <c:pt idx="5">
                  <c:v>0.19448518989788874</c:v>
                </c:pt>
                <c:pt idx="6">
                  <c:v>0.20794645831447639</c:v>
                </c:pt>
                <c:pt idx="7">
                  <c:v>0.22389582838802999</c:v>
                </c:pt>
                <c:pt idx="8">
                  <c:v>0.2429902598372809</c:v>
                </c:pt>
                <c:pt idx="9">
                  <c:v>0.26616720689824341</c:v>
                </c:pt>
                <c:pt idx="10">
                  <c:v>0.29480289138389149</c:v>
                </c:pt>
                <c:pt idx="11">
                  <c:v>0.33099826514463132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0.01</c:v>
                </c:pt>
                <c:pt idx="23">
                  <c:v>0.03</c:v>
                </c:pt>
                <c:pt idx="24">
                  <c:v>0.05</c:v>
                </c:pt>
                <c:pt idx="25">
                  <c:v>7.0000000000000007E-2</c:v>
                </c:pt>
                <c:pt idx="26">
                  <c:v>0.1</c:v>
                </c:pt>
                <c:pt idx="27">
                  <c:v>0.15</c:v>
                </c:pt>
                <c:pt idx="28">
                  <c:v>0.2</c:v>
                </c:pt>
                <c:pt idx="29">
                  <c:v>0.25</c:v>
                </c:pt>
                <c:pt idx="30">
                  <c:v>0.3</c:v>
                </c:pt>
                <c:pt idx="31">
                  <c:v>0.35</c:v>
                </c:pt>
                <c:pt idx="32">
                  <c:v>0.4</c:v>
                </c:pt>
                <c:pt idx="33" formatCode=";;;">
                  <c:v>0.45</c:v>
                </c:pt>
                <c:pt idx="34" formatCode=";;;">
                  <c:v>0.5</c:v>
                </c:pt>
                <c:pt idx="35" formatCode=";;;">
                  <c:v>0.55000000000000004</c:v>
                </c:pt>
                <c:pt idx="36" formatCode=";;;">
                  <c:v>0.6</c:v>
                </c:pt>
                <c:pt idx="37" formatCode=";;;">
                  <c:v>0.65</c:v>
                </c:pt>
                <c:pt idx="38" formatCode=";;;">
                  <c:v>0.7</c:v>
                </c:pt>
                <c:pt idx="39" formatCode=";;;">
                  <c:v>0.75</c:v>
                </c:pt>
                <c:pt idx="40" formatCode=";;;">
                  <c:v>0.8</c:v>
                </c:pt>
                <c:pt idx="41" formatCode=";;;">
                  <c:v>0.85</c:v>
                </c:pt>
                <c:pt idx="42" formatCode=";;;">
                  <c:v>0.9</c:v>
                </c:pt>
                <c:pt idx="43" formatCode=";;;">
                  <c:v>0.95</c:v>
                </c:pt>
              </c:numCache>
            </c:numRef>
          </c:xVal>
          <c:yVal>
            <c:numRef>
              <c:f>'impact curve'!$B$36:$B$79</c:f>
              <c:numCache>
                <c:formatCode>General</c:formatCode>
                <c:ptCount val="44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0.45</c:v>
                </c:pt>
                <c:pt idx="11">
                  <c:v>0.4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7.0000000000000007E-2</c:v>
                </c:pt>
                <c:pt idx="19">
                  <c:v>0.05</c:v>
                </c:pt>
                <c:pt idx="20">
                  <c:v>0.03</c:v>
                </c:pt>
                <c:pt idx="21">
                  <c:v>0.01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0.33099826514463132</c:v>
                </c:pt>
                <c:pt idx="33" formatCode=";;;">
                  <c:v>0.29480289138389149</c:v>
                </c:pt>
                <c:pt idx="34" formatCode=";;;">
                  <c:v>0.26616720689824341</c:v>
                </c:pt>
                <c:pt idx="35" formatCode=";;;">
                  <c:v>0.2429902598372809</c:v>
                </c:pt>
                <c:pt idx="36" formatCode=";;;">
                  <c:v>0.22389582838802999</c:v>
                </c:pt>
                <c:pt idx="37" formatCode=";;;">
                  <c:v>0.20794645831447639</c:v>
                </c:pt>
                <c:pt idx="38" formatCode=";;;">
                  <c:v>0.19448518989788874</c:v>
                </c:pt>
                <c:pt idx="39" formatCode=";;;">
                  <c:v>0.18304417287509381</c:v>
                </c:pt>
                <c:pt idx="40" formatCode=";;;">
                  <c:v>0.17329206178246928</c:v>
                </c:pt>
                <c:pt idx="41" formatCode=";;;">
                  <c:v>0.16500910516910858</c:v>
                </c:pt>
                <c:pt idx="42" formatCode=";;;">
                  <c:v>0.15809641649360229</c:v>
                </c:pt>
                <c:pt idx="43" formatCode=";;;">
                  <c:v>0.15269395233681146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06-40B3-8FDC-0EF938A65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1152"/>
        <c:axId val="50961728"/>
      </c:scatterChart>
      <c:valAx>
        <c:axId val="5096115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r(x,cv)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0961728"/>
        <c:crosses val="autoZero"/>
        <c:crossBetween val="midCat"/>
        <c:majorUnit val="0.1"/>
      </c:valAx>
      <c:valAx>
        <c:axId val="509617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r(y,cv)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096115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'impact curve'!$B$35</c:f>
              <c:strCache>
                <c:ptCount val="1"/>
                <c:pt idx="0">
                  <c:v>r(y,cv)</c:v>
                </c:pt>
              </c:strCache>
            </c:strRef>
          </c:tx>
          <c:marker>
            <c:symbol val="none"/>
          </c:marker>
          <c:xVal>
            <c:numRef>
              <c:f>'impact curve'!$A$36:$A$81</c:f>
              <c:numCache>
                <c:formatCode>General</c:formatCode>
                <c:ptCount val="46"/>
                <c:pt idx="0">
                  <c:v>0.15269395233681146</c:v>
                </c:pt>
                <c:pt idx="1">
                  <c:v>0.15809641649360229</c:v>
                </c:pt>
                <c:pt idx="2">
                  <c:v>0.16500910516910858</c:v>
                </c:pt>
                <c:pt idx="3">
                  <c:v>0.17329206178246928</c:v>
                </c:pt>
                <c:pt idx="4">
                  <c:v>0.18304417287509381</c:v>
                </c:pt>
                <c:pt idx="5">
                  <c:v>0.19448518989788874</c:v>
                </c:pt>
                <c:pt idx="6">
                  <c:v>0.20794645831447639</c:v>
                </c:pt>
                <c:pt idx="7">
                  <c:v>0.22389582838802999</c:v>
                </c:pt>
                <c:pt idx="8">
                  <c:v>0.2429902598372809</c:v>
                </c:pt>
                <c:pt idx="9">
                  <c:v>0.26616720689824341</c:v>
                </c:pt>
                <c:pt idx="10">
                  <c:v>0.29480289138389149</c:v>
                </c:pt>
                <c:pt idx="11">
                  <c:v>0.33099826514463132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0.01</c:v>
                </c:pt>
                <c:pt idx="23">
                  <c:v>0.03</c:v>
                </c:pt>
                <c:pt idx="24">
                  <c:v>0.05</c:v>
                </c:pt>
                <c:pt idx="25">
                  <c:v>7.0000000000000007E-2</c:v>
                </c:pt>
                <c:pt idx="26">
                  <c:v>0.1</c:v>
                </c:pt>
                <c:pt idx="27">
                  <c:v>0.15</c:v>
                </c:pt>
                <c:pt idx="28">
                  <c:v>0.2</c:v>
                </c:pt>
                <c:pt idx="29">
                  <c:v>0.25</c:v>
                </c:pt>
                <c:pt idx="30">
                  <c:v>0.3</c:v>
                </c:pt>
                <c:pt idx="31">
                  <c:v>0.35</c:v>
                </c:pt>
                <c:pt idx="32">
                  <c:v>0.4</c:v>
                </c:pt>
                <c:pt idx="33" formatCode=";;;">
                  <c:v>0.45</c:v>
                </c:pt>
                <c:pt idx="34" formatCode=";;;">
                  <c:v>0.5</c:v>
                </c:pt>
                <c:pt idx="35" formatCode=";;;">
                  <c:v>0.55000000000000004</c:v>
                </c:pt>
                <c:pt idx="36" formatCode=";;;">
                  <c:v>0.6</c:v>
                </c:pt>
                <c:pt idx="37" formatCode=";;;">
                  <c:v>0.65</c:v>
                </c:pt>
                <c:pt idx="38" formatCode=";;;">
                  <c:v>0.7</c:v>
                </c:pt>
                <c:pt idx="39" formatCode=";;;">
                  <c:v>0.75</c:v>
                </c:pt>
                <c:pt idx="40" formatCode=";;;">
                  <c:v>0.8</c:v>
                </c:pt>
                <c:pt idx="41" formatCode=";;;">
                  <c:v>0.85</c:v>
                </c:pt>
                <c:pt idx="42" formatCode=";;;">
                  <c:v>0.9</c:v>
                </c:pt>
                <c:pt idx="43" formatCode=";;;">
                  <c:v>0.95</c:v>
                </c:pt>
                <c:pt idx="44" formatCode=";;;">
                  <c:v>0</c:v>
                </c:pt>
                <c:pt idx="45" formatCode=";;;">
                  <c:v>1</c:v>
                </c:pt>
              </c:numCache>
            </c:numRef>
          </c:xVal>
          <c:yVal>
            <c:numRef>
              <c:f>'impact curve'!$B$36:$B$81</c:f>
              <c:numCache>
                <c:formatCode>General</c:formatCode>
                <c:ptCount val="46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0.45</c:v>
                </c:pt>
                <c:pt idx="11">
                  <c:v>0.4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7.0000000000000007E-2</c:v>
                </c:pt>
                <c:pt idx="19">
                  <c:v>0.05</c:v>
                </c:pt>
                <c:pt idx="20">
                  <c:v>0.03</c:v>
                </c:pt>
                <c:pt idx="21">
                  <c:v>0.01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0.33099826514463132</c:v>
                </c:pt>
                <c:pt idx="33" formatCode=";;;">
                  <c:v>0.29480289138389149</c:v>
                </c:pt>
                <c:pt idx="34" formatCode=";;;">
                  <c:v>0.26616720689824341</c:v>
                </c:pt>
                <c:pt idx="35" formatCode=";;;">
                  <c:v>0.2429902598372809</c:v>
                </c:pt>
                <c:pt idx="36" formatCode=";;;">
                  <c:v>0.22389582838802999</c:v>
                </c:pt>
                <c:pt idx="37" formatCode=";;;">
                  <c:v>0.20794645831447639</c:v>
                </c:pt>
                <c:pt idx="38" formatCode=";;;">
                  <c:v>0.19448518989788874</c:v>
                </c:pt>
                <c:pt idx="39" formatCode=";;;">
                  <c:v>0.18304417287509381</c:v>
                </c:pt>
                <c:pt idx="40" formatCode=";;;">
                  <c:v>0.17329206178246928</c:v>
                </c:pt>
                <c:pt idx="41" formatCode=";;;">
                  <c:v>0.16500910516910858</c:v>
                </c:pt>
                <c:pt idx="42" formatCode=";;;">
                  <c:v>0.15809641649360229</c:v>
                </c:pt>
                <c:pt idx="43" formatCode=";;;">
                  <c:v>0.15269395233681146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D-4DFA-A5E8-3B0DF8E00ACB}"/>
            </c:ext>
          </c:extLst>
        </c:ser>
        <c:ser>
          <c:idx val="1"/>
          <c:order val="1"/>
          <c:tx>
            <c:strRef>
              <c:f>'impact curve'!$C$35</c:f>
              <c:strCache>
                <c:ptCount val="1"/>
                <c:pt idx="0">
                  <c:v>diagonal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'impact curve'!$A$36:$A$81</c:f>
              <c:numCache>
                <c:formatCode>General</c:formatCode>
                <c:ptCount val="46"/>
                <c:pt idx="0">
                  <c:v>0.15269395233681146</c:v>
                </c:pt>
                <c:pt idx="1">
                  <c:v>0.15809641649360229</c:v>
                </c:pt>
                <c:pt idx="2">
                  <c:v>0.16500910516910858</c:v>
                </c:pt>
                <c:pt idx="3">
                  <c:v>0.17329206178246928</c:v>
                </c:pt>
                <c:pt idx="4">
                  <c:v>0.18304417287509381</c:v>
                </c:pt>
                <c:pt idx="5">
                  <c:v>0.19448518989788874</c:v>
                </c:pt>
                <c:pt idx="6">
                  <c:v>0.20794645831447639</c:v>
                </c:pt>
                <c:pt idx="7">
                  <c:v>0.22389582838802999</c:v>
                </c:pt>
                <c:pt idx="8">
                  <c:v>0.2429902598372809</c:v>
                </c:pt>
                <c:pt idx="9">
                  <c:v>0.26616720689824341</c:v>
                </c:pt>
                <c:pt idx="10">
                  <c:v>0.29480289138389149</c:v>
                </c:pt>
                <c:pt idx="11">
                  <c:v>0.33099826514463132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0.01</c:v>
                </c:pt>
                <c:pt idx="23">
                  <c:v>0.03</c:v>
                </c:pt>
                <c:pt idx="24">
                  <c:v>0.05</c:v>
                </c:pt>
                <c:pt idx="25">
                  <c:v>7.0000000000000007E-2</c:v>
                </c:pt>
                <c:pt idx="26">
                  <c:v>0.1</c:v>
                </c:pt>
                <c:pt idx="27">
                  <c:v>0.15</c:v>
                </c:pt>
                <c:pt idx="28">
                  <c:v>0.2</c:v>
                </c:pt>
                <c:pt idx="29">
                  <c:v>0.25</c:v>
                </c:pt>
                <c:pt idx="30">
                  <c:v>0.3</c:v>
                </c:pt>
                <c:pt idx="31">
                  <c:v>0.35</c:v>
                </c:pt>
                <c:pt idx="32">
                  <c:v>0.4</c:v>
                </c:pt>
                <c:pt idx="33" formatCode=";;;">
                  <c:v>0.45</c:v>
                </c:pt>
                <c:pt idx="34" formatCode=";;;">
                  <c:v>0.5</c:v>
                </c:pt>
                <c:pt idx="35" formatCode=";;;">
                  <c:v>0.55000000000000004</c:v>
                </c:pt>
                <c:pt idx="36" formatCode=";;;">
                  <c:v>0.6</c:v>
                </c:pt>
                <c:pt idx="37" formatCode=";;;">
                  <c:v>0.65</c:v>
                </c:pt>
                <c:pt idx="38" formatCode=";;;">
                  <c:v>0.7</c:v>
                </c:pt>
                <c:pt idx="39" formatCode=";;;">
                  <c:v>0.75</c:v>
                </c:pt>
                <c:pt idx="40" formatCode=";;;">
                  <c:v>0.8</c:v>
                </c:pt>
                <c:pt idx="41" formatCode=";;;">
                  <c:v>0.85</c:v>
                </c:pt>
                <c:pt idx="42" formatCode=";;;">
                  <c:v>0.9</c:v>
                </c:pt>
                <c:pt idx="43" formatCode=";;;">
                  <c:v>0.95</c:v>
                </c:pt>
                <c:pt idx="44" formatCode=";;;">
                  <c:v>0</c:v>
                </c:pt>
                <c:pt idx="45" formatCode=";;;">
                  <c:v>1</c:v>
                </c:pt>
              </c:numCache>
            </c:numRef>
          </c:xVal>
          <c:yVal>
            <c:numRef>
              <c:f>'impact curve'!$C$36:$C$81</c:f>
              <c:numCache>
                <c:formatCode>General</c:formatCode>
                <c:ptCount val="46"/>
                <c:pt idx="44" formatCode=";;;">
                  <c:v>0</c:v>
                </c:pt>
                <c:pt idx="45" formatCode=";;;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6D-4DFA-A5E8-3B0DF8E0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85728"/>
        <c:axId val="193586304"/>
      </c:scatterChart>
      <c:valAx>
        <c:axId val="19358572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r(x,cv)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86304"/>
        <c:crosses val="autoZero"/>
        <c:crossBetween val="midCat"/>
      </c:valAx>
      <c:valAx>
        <c:axId val="19358630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r(y,cv)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85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SSHRE by Correlation between Treatment and</a:t>
            </a:r>
            <a:r>
              <a:rPr lang="en-US" baseline="0"/>
              <a:t> Outcome</a:t>
            </a:r>
            <a:endParaRPr lang="en-US"/>
          </a:p>
        </c:rich>
      </c:tx>
      <c:layout>
        <c:manualLayout>
          <c:xMode val="edge"/>
          <c:yMode val="edge"/>
          <c:x val="0.27833852544132914"/>
          <c:y val="1.169590643274853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627444566461832"/>
          <c:y val="0.16473552414385823"/>
          <c:w val="0.73995716410819568"/>
          <c:h val="0.7496394382300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'effective n'!$B$55</c:f>
              <c:strCache>
                <c:ptCount val="1"/>
                <c:pt idx="0">
                  <c:v>effective n</c:v>
                </c:pt>
              </c:strCache>
            </c:strRef>
          </c:tx>
          <c:marker>
            <c:symbol val="none"/>
          </c:marker>
          <c:xVal>
            <c:numRef>
              <c:f>'effective n'!$A$56:$A$77</c:f>
              <c:numCache>
                <c:formatCode>General</c:formatCode>
                <c:ptCount val="2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xVal>
          <c:yVal>
            <c:numRef>
              <c:f>'effective n'!$B$56:$B$77</c:f>
              <c:numCache>
                <c:formatCode>General</c:formatCode>
                <c:ptCount val="22"/>
                <c:pt idx="0">
                  <c:v>-4.8624999999999998</c:v>
                </c:pt>
                <c:pt idx="1">
                  <c:v>-3.7249999999999996</c:v>
                </c:pt>
                <c:pt idx="2">
                  <c:v>-2.5874999999999999</c:v>
                </c:pt>
                <c:pt idx="3">
                  <c:v>-1.4499999999999993</c:v>
                </c:pt>
                <c:pt idx="4">
                  <c:v>0.82500000000000018</c:v>
                </c:pt>
                <c:pt idx="5">
                  <c:v>3.1000000000000014</c:v>
                </c:pt>
                <c:pt idx="6">
                  <c:v>5.375</c:v>
                </c:pt>
                <c:pt idx="7">
                  <c:v>7.65</c:v>
                </c:pt>
                <c:pt idx="8">
                  <c:v>9.9250000000000007</c:v>
                </c:pt>
                <c:pt idx="9">
                  <c:v>12.200000000000003</c:v>
                </c:pt>
                <c:pt idx="10">
                  <c:v>14.475000000000001</c:v>
                </c:pt>
                <c:pt idx="11">
                  <c:v>16.75</c:v>
                </c:pt>
                <c:pt idx="12">
                  <c:v>19.025000000000002</c:v>
                </c:pt>
                <c:pt idx="13">
                  <c:v>21.3</c:v>
                </c:pt>
                <c:pt idx="14">
                  <c:v>23.574999999999999</c:v>
                </c:pt>
                <c:pt idx="15">
                  <c:v>25.85</c:v>
                </c:pt>
                <c:pt idx="16">
                  <c:v>28.125</c:v>
                </c:pt>
                <c:pt idx="17">
                  <c:v>30.400000000000006</c:v>
                </c:pt>
                <c:pt idx="18">
                  <c:v>32.674999999999997</c:v>
                </c:pt>
                <c:pt idx="19">
                  <c:v>34.950000000000003</c:v>
                </c:pt>
                <c:pt idx="20">
                  <c:v>37.224999999999994</c:v>
                </c:pt>
                <c:pt idx="21">
                  <c:v>39.5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4A-46AB-B8FC-F61786E7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89760"/>
        <c:axId val="193590336"/>
      </c:scatterChart>
      <c:valAx>
        <c:axId val="19358976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 between Treatment</a:t>
                </a:r>
                <a:r>
                  <a:rPr lang="en-US" baseline="0"/>
                  <a:t> and Outcome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90336"/>
        <c:crosses val="autoZero"/>
        <c:crossBetween val="midCat"/>
      </c:valAx>
      <c:valAx>
        <c:axId val="19359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Sample Size of a Hypothetical Randomized Experiment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8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$P$4" lockText="1" noThreeD="1"/>
</file>

<file path=xl/ctrlProps/ctrlProp10.xml><?xml version="1.0" encoding="utf-8"?>
<formControlPr xmlns="http://schemas.microsoft.com/office/spreadsheetml/2009/9/main" objectType="CheckBox" checked="Checked" fmlaLink="$P$18" lockText="1" noThreeD="1"/>
</file>

<file path=xl/ctrlProps/ctrlProp11.xml><?xml version="1.0" encoding="utf-8"?>
<formControlPr xmlns="http://schemas.microsoft.com/office/spreadsheetml/2009/9/main" objectType="CheckBox" fmlaLink="$P$20" lockText="1" noThreeD="1"/>
</file>

<file path=xl/ctrlProps/ctrlProp2.xml><?xml version="1.0" encoding="utf-8"?>
<formControlPr xmlns="http://schemas.microsoft.com/office/spreadsheetml/2009/9/main" objectType="CheckBox" checked="Checked" fmlaLink="$P$5" lockText="1" noThreeD="1"/>
</file>

<file path=xl/ctrlProps/ctrlProp3.xml><?xml version="1.0" encoding="utf-8"?>
<formControlPr xmlns="http://schemas.microsoft.com/office/spreadsheetml/2009/9/main" objectType="CheckBox" checked="Checked" fmlaLink="$P$6" lockText="1" noThreeD="1"/>
</file>

<file path=xl/ctrlProps/ctrlProp4.xml><?xml version="1.0" encoding="utf-8"?>
<formControlPr xmlns="http://schemas.microsoft.com/office/spreadsheetml/2009/9/main" objectType="CheckBox" checked="Checked" fmlaLink="$P$9" lockText="1" noThreeD="1"/>
</file>

<file path=xl/ctrlProps/ctrlProp5.xml><?xml version="1.0" encoding="utf-8"?>
<formControlPr xmlns="http://schemas.microsoft.com/office/spreadsheetml/2009/9/main" objectType="CheckBox" checked="Checked" fmlaLink="$P$10" lockText="1" noThreeD="1"/>
</file>

<file path=xl/ctrlProps/ctrlProp6.xml><?xml version="1.0" encoding="utf-8"?>
<formControlPr xmlns="http://schemas.microsoft.com/office/spreadsheetml/2009/9/main" objectType="CheckBox" checked="Checked" fmlaLink="$P$12" lockText="1" noThreeD="1"/>
</file>

<file path=xl/ctrlProps/ctrlProp7.xml><?xml version="1.0" encoding="utf-8"?>
<formControlPr xmlns="http://schemas.microsoft.com/office/spreadsheetml/2009/9/main" objectType="CheckBox" checked="Checked" fmlaLink="$P$13" lockText="1" noThreeD="1"/>
</file>

<file path=xl/ctrlProps/ctrlProp8.xml><?xml version="1.0" encoding="utf-8"?>
<formControlPr xmlns="http://schemas.microsoft.com/office/spreadsheetml/2009/9/main" objectType="CheckBox" fmlaLink="$P$15" lockText="1" noThreeD="1"/>
</file>

<file path=xl/ctrlProps/ctrlProp9.xml><?xml version="1.0" encoding="utf-8"?>
<formControlPr xmlns="http://schemas.microsoft.com/office/spreadsheetml/2009/9/main" objectType="CheckBox" fmlaLink="$P$16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33336</xdr:rowOff>
    </xdr:from>
    <xdr:to>
      <xdr:col>3</xdr:col>
      <xdr:colOff>761998</xdr:colOff>
      <xdr:row>37</xdr:row>
      <xdr:rowOff>23811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42864</xdr:colOff>
      <xdr:row>20</xdr:row>
      <xdr:rowOff>71435</xdr:rowOff>
    </xdr:from>
    <xdr:to>
      <xdr:col>6</xdr:col>
      <xdr:colOff>1393032</xdr:colOff>
      <xdr:row>37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416720</xdr:colOff>
      <xdr:row>20</xdr:row>
      <xdr:rowOff>83344</xdr:rowOff>
    </xdr:from>
    <xdr:to>
      <xdr:col>10</xdr:col>
      <xdr:colOff>421482</xdr:colOff>
      <xdr:row>37</xdr:row>
      <xdr:rowOff>116684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23812</xdr:rowOff>
    </xdr:from>
    <xdr:to>
      <xdr:col>3</xdr:col>
      <xdr:colOff>761998</xdr:colOff>
      <xdr:row>60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38100</xdr:rowOff>
        </xdr:from>
        <xdr:to>
          <xdr:col>14</xdr:col>
          <xdr:colOff>558800</xdr:colOff>
          <xdr:row>3</xdr:row>
          <xdr:rowOff>279400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3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Check Box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</xdr:row>
          <xdr:rowOff>0</xdr:rowOff>
        </xdr:from>
        <xdr:to>
          <xdr:col>15</xdr:col>
          <xdr:colOff>38100</xdr:colOff>
          <xdr:row>4</xdr:row>
          <xdr:rowOff>215900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3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Check Box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12700</xdr:colOff>
          <xdr:row>5</xdr:row>
          <xdr:rowOff>12700</xdr:rowOff>
        </xdr:from>
        <xdr:to>
          <xdr:col>14</xdr:col>
          <xdr:colOff>596900</xdr:colOff>
          <xdr:row>6</xdr:row>
          <xdr:rowOff>38100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3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Check Box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8</xdr:row>
          <xdr:rowOff>12700</xdr:rowOff>
        </xdr:from>
        <xdr:to>
          <xdr:col>14</xdr:col>
          <xdr:colOff>825500</xdr:colOff>
          <xdr:row>8</xdr:row>
          <xdr:rowOff>292100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3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Check Box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8</xdr:row>
          <xdr:rowOff>279400</xdr:rowOff>
        </xdr:from>
        <xdr:to>
          <xdr:col>14</xdr:col>
          <xdr:colOff>800100</xdr:colOff>
          <xdr:row>10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3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Check Box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12700</xdr:colOff>
          <xdr:row>11</xdr:row>
          <xdr:rowOff>0</xdr:rowOff>
        </xdr:from>
        <xdr:to>
          <xdr:col>14</xdr:col>
          <xdr:colOff>774700</xdr:colOff>
          <xdr:row>11</xdr:row>
          <xdr:rowOff>228600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3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Check Box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11</xdr:row>
          <xdr:rowOff>152400</xdr:rowOff>
        </xdr:from>
        <xdr:to>
          <xdr:col>14</xdr:col>
          <xdr:colOff>774700</xdr:colOff>
          <xdr:row>12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3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Check Box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13</xdr:row>
          <xdr:rowOff>152400</xdr:rowOff>
        </xdr:from>
        <xdr:to>
          <xdr:col>15</xdr:col>
          <xdr:colOff>0</xdr:colOff>
          <xdr:row>14</xdr:row>
          <xdr:rowOff>114300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3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Check Box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15</xdr:row>
          <xdr:rowOff>0</xdr:rowOff>
        </xdr:from>
        <xdr:to>
          <xdr:col>14</xdr:col>
          <xdr:colOff>749300</xdr:colOff>
          <xdr:row>16</xdr:row>
          <xdr:rowOff>25400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3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Check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16</xdr:row>
          <xdr:rowOff>190500</xdr:rowOff>
        </xdr:from>
        <xdr:to>
          <xdr:col>14</xdr:col>
          <xdr:colOff>825500</xdr:colOff>
          <xdr:row>17</xdr:row>
          <xdr:rowOff>177800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3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Check Box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18</xdr:row>
          <xdr:rowOff>203200</xdr:rowOff>
        </xdr:from>
        <xdr:to>
          <xdr:col>14</xdr:col>
          <xdr:colOff>749300</xdr:colOff>
          <xdr:row>19</xdr:row>
          <xdr:rowOff>177800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3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Check Box 14</a:t>
              </a:r>
            </a:p>
          </xdr:txBody>
        </xdr:sp>
        <xdr:clientData/>
      </xdr:twoCellAnchor>
    </mc:Choice>
    <mc:Fallback/>
  </mc:AlternateContent>
  <xdr:twoCellAnchor>
    <xdr:from>
      <xdr:col>10</xdr:col>
      <xdr:colOff>551092</xdr:colOff>
      <xdr:row>22</xdr:row>
      <xdr:rowOff>119895</xdr:rowOff>
    </xdr:from>
    <xdr:to>
      <xdr:col>13</xdr:col>
      <xdr:colOff>1948092</xdr:colOff>
      <xdr:row>39</xdr:row>
      <xdr:rowOff>131083</xdr:rowOff>
    </xdr:to>
    <xdr:graphicFrame macro="">
      <xdr:nvGraphicFramePr>
        <xdr:cNvPr id="2" name="Chart 1" title="% Bias to Invalidate the Inferenc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17</xdr:row>
      <xdr:rowOff>0</xdr:rowOff>
    </xdr:from>
    <xdr:to>
      <xdr:col>7</xdr:col>
      <xdr:colOff>371474</xdr:colOff>
      <xdr:row>38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203427</xdr:colOff>
      <xdr:row>0</xdr:row>
      <xdr:rowOff>469445</xdr:rowOff>
    </xdr:from>
    <xdr:to>
      <xdr:col>7</xdr:col>
      <xdr:colOff>331786</xdr:colOff>
      <xdr:row>27</xdr:row>
      <xdr:rowOff>78919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492125</xdr:colOff>
      <xdr:row>35</xdr:row>
      <xdr:rowOff>25966</xdr:rowOff>
    </xdr:from>
    <xdr:to>
      <xdr:col>23</xdr:col>
      <xdr:colOff>442232</xdr:colOff>
      <xdr:row>58</xdr:row>
      <xdr:rowOff>70416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0.11164</cdr:x>
      <cdr:y>0.24627</cdr:y>
    </cdr:from>
    <cdr:to>
      <cdr:x>0.86717</cdr:x>
      <cdr:y>0.81054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84E065A-71F2-4176-9566-4DEEDEA4CBD4}"/>
            </a:ext>
          </a:extLst>
        </cdr:cNvPr>
        <cdr:cNvCxnSpPr/>
      </cdr:nvCxnSpPr>
      <cdr:spPr>
        <a:xfrm xmlns:a="http://schemas.openxmlformats.org/drawingml/2006/main" flipV="1">
          <a:off x="424295" y="942975"/>
          <a:ext cx="2871355" cy="216060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45</xdr:row>
      <xdr:rowOff>57150</xdr:rowOff>
    </xdr:from>
    <xdr:to>
      <xdr:col>22</xdr:col>
      <xdr:colOff>47625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86</xdr:row>
      <xdr:rowOff>38100</xdr:rowOff>
    </xdr:from>
    <xdr:to>
      <xdr:col>18</xdr:col>
      <xdr:colOff>161925</xdr:colOff>
      <xdr:row>111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18</xdr:row>
      <xdr:rowOff>114300</xdr:rowOff>
    </xdr:from>
    <xdr:to>
      <xdr:col>16</xdr:col>
      <xdr:colOff>9524</xdr:colOff>
      <xdr:row>45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su.edu/~kenfrank/KonFound-it!.xlsx" TargetMode="External"/><Relationship Id="rId2" Type="http://schemas.openxmlformats.org/officeDocument/2006/relationships/hyperlink" Target="https://www.msu.edu/~kenfrank/quantifying%20the%20robustness%20of%20causal%20inferences.pptx" TargetMode="External"/><Relationship Id="rId1" Type="http://schemas.openxmlformats.org/officeDocument/2006/relationships/hyperlink" Target="https://www.msu.edu/~kenfrank/papers/impact%20of%20a%20confounding%20variable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su.edu/~kenfrank/What%20would%20it%20take%20to%20Change%20an%20Inference%20published.doc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su.edu/~kenfrank/papers/INDICES%20OF%20ROBUSTNESS%20TO%20CONCERNS%20REGARDING%20THE%20REPRESENTATIVENESS%20OF%20A%20SAMPLE.doc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su.edu/~kenfrank/research.htm" TargetMode="External"/><Relationship Id="rId2" Type="http://schemas.openxmlformats.org/officeDocument/2006/relationships/hyperlink" Target="https://www.msu.edu/~kenfrank/What%20would%20it%20take%20to%20Change%20an%20Inference%20published.docx" TargetMode="External"/><Relationship Id="rId1" Type="http://schemas.openxmlformats.org/officeDocument/2006/relationships/printerSettings" Target="../printerSettings/printerSettings2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/yeqhov0e6kmv4f5/Quantifying%20Sensitivity%20to%20Selection%20on%20Unobservables%202%2024%2023%20move%20up%20example.docx?dl=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hyperlink" Target="https://www.msu.edu/~kenfrank/papers/INDICES%20OF%20ROBUSTNESS%20TO%20CONCERNS%20REGARDING%20THE%20REPRESENTATIVENESS%20OF%20A%20SAMPLE.doc" TargetMode="External"/><Relationship Id="rId7" Type="http://schemas.openxmlformats.org/officeDocument/2006/relationships/drawing" Target="../drawings/drawing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" Type="http://schemas.openxmlformats.org/officeDocument/2006/relationships/hyperlink" Target="https://www.msu.edu/~kenfrank/papers/impact%20of%20a%20confounding%20variable.pdf" TargetMode="External"/><Relationship Id="rId16" Type="http://schemas.openxmlformats.org/officeDocument/2006/relationships/ctrlProp" Target="../ctrlProps/ctrlProp8.xml"/><Relationship Id="rId1" Type="http://schemas.openxmlformats.org/officeDocument/2006/relationships/printerSettings" Target="../printerSettings/printerSettings4.bin"/><Relationship Id="rId6" Type="http://schemas.openxmlformats.org/officeDocument/2006/relationships/printerSettings" Target="../printerSettings/printerSettings5.bin"/><Relationship Id="rId11" Type="http://schemas.openxmlformats.org/officeDocument/2006/relationships/ctrlProp" Target="../ctrlProps/ctrlProp3.xml"/><Relationship Id="rId5" Type="http://schemas.openxmlformats.org/officeDocument/2006/relationships/hyperlink" Target="https://www.msu.edu/~kenfrank/research.htm" TargetMode="External"/><Relationship Id="rId15" Type="http://schemas.openxmlformats.org/officeDocument/2006/relationships/ctrlProp" Target="../ctrlProps/ctrlProp7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hyperlink" Target="https://www.msu.edu/~kenfrank/papers/Does%20NBPTS%20Certification%20Affect%20the%20Number%20of%20Colleagues%20a%20Teacher%20Helps%20with%20Instructional%20Matters%20acceptance%20version%202.doc" TargetMode="Externa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zoomScale="80" zoomScaleNormal="80" workbookViewId="0">
      <selection activeCell="A30" sqref="A30"/>
    </sheetView>
  </sheetViews>
  <sheetFormatPr baseColWidth="10" defaultColWidth="8.83203125" defaultRowHeight="13" x14ac:dyDescent="0.15"/>
  <cols>
    <col min="1" max="1" width="25.83203125" customWidth="1"/>
    <col min="2" max="2" width="27.6640625" customWidth="1"/>
    <col min="3" max="3" width="20.6640625" customWidth="1"/>
    <col min="4" max="4" width="27.5" customWidth="1"/>
    <col min="5" max="5" width="26.1640625" customWidth="1"/>
    <col min="6" max="6" width="29.83203125" customWidth="1"/>
    <col min="10" max="10" width="13" customWidth="1"/>
    <col min="13" max="13" width="51.33203125" customWidth="1"/>
    <col min="14" max="14" width="9.6640625" customWidth="1"/>
  </cols>
  <sheetData>
    <row r="1" spans="1:13" ht="28" thickBot="1" x14ac:dyDescent="0.3">
      <c r="A1" s="396" t="s">
        <v>160</v>
      </c>
      <c r="B1" s="396"/>
      <c r="C1" s="396"/>
      <c r="D1" s="396"/>
      <c r="E1" s="396"/>
      <c r="F1" s="396"/>
      <c r="G1" s="357"/>
    </row>
    <row r="2" spans="1:13" ht="22" thickTop="1" thickBot="1" x14ac:dyDescent="0.25">
      <c r="A2" s="363" t="s">
        <v>219</v>
      </c>
      <c r="B2" s="401" t="s">
        <v>44</v>
      </c>
      <c r="C2" s="401"/>
      <c r="D2" s="401"/>
      <c r="E2" s="401"/>
      <c r="F2" s="402"/>
      <c r="G2" s="393" t="s">
        <v>140</v>
      </c>
      <c r="H2" s="394"/>
      <c r="I2" s="394"/>
      <c r="J2" s="394"/>
      <c r="K2" s="394"/>
      <c r="L2" s="394"/>
      <c r="M2" s="394"/>
    </row>
    <row r="3" spans="1:13" ht="22" thickTop="1" thickBot="1" x14ac:dyDescent="0.25">
      <c r="A3" s="362" t="s">
        <v>119</v>
      </c>
      <c r="B3" s="77" t="s">
        <v>43</v>
      </c>
      <c r="C3" s="78" t="s">
        <v>117</v>
      </c>
      <c r="D3" s="77" t="s">
        <v>141</v>
      </c>
      <c r="E3" s="77" t="s">
        <v>137</v>
      </c>
      <c r="F3" s="77" t="s">
        <v>75</v>
      </c>
      <c r="G3" s="77" t="s">
        <v>34</v>
      </c>
      <c r="H3" s="77" t="s">
        <v>33</v>
      </c>
      <c r="I3" s="77" t="s">
        <v>118</v>
      </c>
      <c r="J3" s="376" t="s">
        <v>224</v>
      </c>
      <c r="K3" s="75" t="s">
        <v>270</v>
      </c>
      <c r="L3" s="75"/>
      <c r="M3" s="75"/>
    </row>
    <row r="4" spans="1:13" ht="20" thickTop="1" thickBot="1" x14ac:dyDescent="0.25">
      <c r="A4" s="80">
        <v>-9.01</v>
      </c>
      <c r="B4" s="80">
        <v>0.68</v>
      </c>
      <c r="C4" s="81">
        <v>7639</v>
      </c>
      <c r="D4" s="82">
        <v>221</v>
      </c>
      <c r="E4" s="80">
        <v>0.05</v>
      </c>
      <c r="F4" s="80">
        <v>0</v>
      </c>
      <c r="G4" s="288">
        <v>0.99099999999999999</v>
      </c>
      <c r="H4" s="288">
        <v>0.217</v>
      </c>
      <c r="I4" s="288">
        <v>0.251</v>
      </c>
      <c r="J4" s="377">
        <v>0</v>
      </c>
      <c r="K4" s="83">
        <f>1.3*I4</f>
        <v>0.32630000000000003</v>
      </c>
      <c r="L4" s="83"/>
      <c r="M4" s="83"/>
    </row>
    <row r="5" spans="1:13" ht="15" thickTop="1" thickBot="1" x14ac:dyDescent="0.2">
      <c r="A5" s="1"/>
      <c r="E5" s="1" t="s">
        <v>148</v>
      </c>
    </row>
    <row r="6" spans="1:13" ht="27" thickTop="1" thickBot="1" x14ac:dyDescent="0.3">
      <c r="A6" s="395" t="s">
        <v>145</v>
      </c>
      <c r="B6" s="395"/>
      <c r="D6" s="76"/>
      <c r="E6" s="399" t="s">
        <v>151</v>
      </c>
      <c r="F6" s="400"/>
      <c r="G6" s="1"/>
    </row>
    <row r="7" spans="1:13" ht="20" thickTop="1" thickBot="1" x14ac:dyDescent="0.25">
      <c r="A7" s="79" t="s">
        <v>16</v>
      </c>
      <c r="B7" s="293" t="s">
        <v>169</v>
      </c>
      <c r="C7" s="290" t="s">
        <v>1</v>
      </c>
      <c r="D7" s="226"/>
      <c r="E7" s="80"/>
      <c r="F7" s="226"/>
    </row>
    <row r="8" spans="1:13" ht="20" thickTop="1" thickBot="1" x14ac:dyDescent="0.25">
      <c r="A8" s="79">
        <f>IF(C4&gt;2,C4-D4-2,0)</f>
        <v>7416</v>
      </c>
      <c r="B8" s="294">
        <f>IF(C4&gt;0,SIGN(A4)*TINV(E4,A8),1.96)</f>
        <v>-1.9602839214158896</v>
      </c>
      <c r="C8" s="289">
        <f>B8</f>
        <v>-1.9602839214158896</v>
      </c>
      <c r="D8" s="164" t="str">
        <f>IF(B8=C8,"To override cell  C8, type in your own value","To return to the default t critical enter the value in cell B8")</f>
        <v>To override cell  C8, type in your own value</v>
      </c>
    </row>
    <row r="9" spans="1:13" ht="17" thickTop="1" x14ac:dyDescent="0.2">
      <c r="A9" s="291"/>
      <c r="B9" s="292" t="s">
        <v>170</v>
      </c>
    </row>
    <row r="10" spans="1:13" ht="14" thickBot="1" x14ac:dyDescent="0.2">
      <c r="A10" s="278"/>
      <c r="B10" s="278"/>
      <c r="C10" s="278"/>
      <c r="D10" s="278"/>
      <c r="E10" s="278"/>
      <c r="F10" s="278"/>
      <c r="G10" s="278"/>
      <c r="H10" s="278"/>
      <c r="I10" s="278"/>
    </row>
    <row r="11" spans="1:13" ht="17" thickTop="1" x14ac:dyDescent="0.2">
      <c r="A11" s="397" t="str">
        <f>"Publishable statements"</f>
        <v>Publishable statements</v>
      </c>
      <c r="B11" s="397"/>
      <c r="C11" s="397"/>
      <c r="D11" s="397"/>
      <c r="E11" s="397"/>
      <c r="F11" s="397"/>
    </row>
    <row r="12" spans="1:13" ht="16" x14ac:dyDescent="0.2">
      <c r="A12" s="398" t="s">
        <v>149</v>
      </c>
      <c r="B12" s="398"/>
      <c r="C12" s="398"/>
      <c r="D12" s="398" t="s">
        <v>150</v>
      </c>
      <c r="E12" s="398"/>
      <c r="F12" s="398"/>
      <c r="G12" s="398"/>
    </row>
    <row r="13" spans="1:13" ht="16" x14ac:dyDescent="0.2">
      <c r="A13" s="228" t="str">
        <f>'replacement of cases'!F9</f>
        <v xml:space="preserve">To invalidate the inference 85% </v>
      </c>
      <c r="B13" s="228"/>
      <c r="C13" s="228"/>
      <c r="D13" s="274" t="str">
        <f>'correlation based'!A22</f>
        <v>The minimum impact to invalidate an inference for a null hypothesis of 0 effect is -.132 and is based on correlations</v>
      </c>
      <c r="E13" s="228"/>
      <c r="F13" s="228"/>
    </row>
    <row r="14" spans="1:13" ht="16" x14ac:dyDescent="0.2">
      <c r="A14" s="228" t="str">
        <f>'replacement of cases'!F10</f>
        <v>of the estimated effect would have to be due to bias</v>
      </c>
      <c r="B14" s="228"/>
      <c r="C14" s="228"/>
      <c r="D14" s="274" t="str">
        <f>'correlation based'!A23</f>
        <v>of -.364 with 0 and of .364 with the outcome, conditional on covariates.</v>
      </c>
      <c r="E14" s="228"/>
      <c r="F14" s="228"/>
      <c r="G14" s="228" t="str">
        <f>'correlation based'!A24</f>
        <v>(signs are interchangeable)</v>
      </c>
    </row>
    <row r="15" spans="1:13" ht="16" x14ac:dyDescent="0.2">
      <c r="A15" s="228"/>
      <c r="B15" s="228"/>
      <c r="C15" s="228"/>
      <c r="D15" s="281"/>
      <c r="E15" s="228"/>
      <c r="F15" s="228"/>
    </row>
    <row r="16" spans="1:13" ht="16" x14ac:dyDescent="0.2">
      <c r="A16" s="228" t="str">
        <f>'replacement of cases'!F11</f>
        <v>To invalidate the inference 85% (6509) of the cases would have</v>
      </c>
      <c r="B16" s="228"/>
      <c r="C16" s="228"/>
      <c r="D16" s="287" t="str">
        <f>'correlation based'!A29</f>
        <v>To invalidate the inference an omitted variable would have to be correlated</v>
      </c>
      <c r="E16" s="228"/>
      <c r="F16" s="228"/>
      <c r="G16" s="277"/>
    </row>
    <row r="17" spans="1:10" ht="17" thickBot="1" x14ac:dyDescent="0.25">
      <c r="A17" s="228" t="str">
        <f>'replacement of cases'!F12</f>
        <v>to be replaced with cases for which there is an effect of zero.</v>
      </c>
      <c r="B17" s="228"/>
      <c r="C17" s="228"/>
      <c r="D17" s="287" t="str">
        <f>'correlation based'!A30</f>
        <v>at -.024 with 0 and at .319 with the outcome, before conditioning on covariates.</v>
      </c>
      <c r="E17" s="228"/>
      <c r="F17" s="228"/>
      <c r="G17" s="228" t="str">
        <f>'correlation based'!A31</f>
        <v>(signs are interchangeable)</v>
      </c>
      <c r="H17" s="369"/>
      <c r="I17" s="369"/>
      <c r="J17" s="369"/>
    </row>
    <row r="18" spans="1:10" ht="18" thickTop="1" thickBot="1" x14ac:dyDescent="0.25">
      <c r="A18" s="374" t="s">
        <v>286</v>
      </c>
      <c r="B18" s="374" t="s">
        <v>258</v>
      </c>
      <c r="C18" s="371" t="s">
        <v>277</v>
      </c>
      <c r="D18" s="379" t="s">
        <v>278</v>
      </c>
      <c r="E18" s="380" t="s">
        <v>284</v>
      </c>
      <c r="F18" s="228"/>
      <c r="G18" s="228"/>
      <c r="H18" s="369"/>
      <c r="I18" s="369"/>
      <c r="J18" s="369"/>
    </row>
    <row r="19" spans="1:10" ht="18" thickTop="1" thickBot="1" x14ac:dyDescent="0.25">
      <c r="A19" s="374" t="s">
        <v>255</v>
      </c>
      <c r="B19" s="375">
        <f>'replacement of cases'!G17</f>
        <v>0.85035185567233129</v>
      </c>
      <c r="C19" s="378">
        <f>'replacement of cases'!H17</f>
        <v>13.777456254083832</v>
      </c>
      <c r="D19" s="384">
        <f>'Coeff of proportionality'!E6</f>
        <v>1.4460189998438339E-2</v>
      </c>
      <c r="E19" s="385">
        <f>'Coeff of proportionality'!I6</f>
        <v>-6.0881775436735952E-2</v>
      </c>
      <c r="F19" s="228"/>
      <c r="G19" s="228"/>
      <c r="H19" s="369"/>
      <c r="I19" s="369"/>
      <c r="J19" s="369"/>
    </row>
    <row r="20" spans="1:10" ht="18" thickTop="1" thickBot="1" x14ac:dyDescent="0.25">
      <c r="A20" s="374" t="s">
        <v>257</v>
      </c>
      <c r="B20" s="375">
        <f>'replacement of cases'!I17</f>
        <v>0.8503617122119278</v>
      </c>
      <c r="C20" s="373"/>
      <c r="D20" s="277" t="s">
        <v>285</v>
      </c>
      <c r="E20" s="228"/>
      <c r="F20" s="228"/>
      <c r="G20" s="228"/>
      <c r="H20" s="369"/>
      <c r="I20" s="369"/>
      <c r="J20" s="369"/>
    </row>
    <row r="21" spans="1:10" ht="17" thickTop="1" x14ac:dyDescent="0.2">
      <c r="D21" s="370" t="s">
        <v>154</v>
      </c>
      <c r="E21" s="280"/>
      <c r="F21" s="280"/>
      <c r="G21" s="280"/>
      <c r="H21" s="280"/>
      <c r="I21" s="280"/>
    </row>
    <row r="22" spans="1:10" ht="16" x14ac:dyDescent="0.2">
      <c r="A22" s="279" t="s">
        <v>233</v>
      </c>
      <c r="D22" s="286" t="s">
        <v>153</v>
      </c>
      <c r="E22" s="282"/>
      <c r="F22" s="282"/>
      <c r="G22" s="282"/>
      <c r="H22" s="282"/>
      <c r="I22" s="282"/>
    </row>
    <row r="23" spans="1:10" ht="16" x14ac:dyDescent="0.2">
      <c r="A23" s="279" t="s">
        <v>234</v>
      </c>
      <c r="D23" s="286"/>
      <c r="E23" s="282"/>
      <c r="F23" s="282"/>
      <c r="G23" s="282"/>
      <c r="H23" s="282"/>
      <c r="I23" s="282"/>
    </row>
    <row r="24" spans="1:10" ht="16" x14ac:dyDescent="0.2">
      <c r="A24" s="279" t="s">
        <v>235</v>
      </c>
      <c r="D24" s="286"/>
      <c r="E24" s="282"/>
      <c r="F24" s="282"/>
      <c r="G24" s="282"/>
      <c r="H24" s="282"/>
      <c r="I24" s="282"/>
    </row>
    <row r="25" spans="1:10" ht="16" x14ac:dyDescent="0.2">
      <c r="A25" s="279" t="s">
        <v>236</v>
      </c>
      <c r="D25" s="286"/>
      <c r="E25" s="282"/>
      <c r="F25" s="282"/>
      <c r="G25" s="282"/>
      <c r="H25" s="282"/>
      <c r="I25" s="282"/>
    </row>
    <row r="26" spans="1:10" ht="23" x14ac:dyDescent="0.25">
      <c r="A26" s="2" t="s">
        <v>147</v>
      </c>
    </row>
    <row r="27" spans="1:10" ht="12.75" customHeight="1" x14ac:dyDescent="0.15">
      <c r="A27" s="392" t="s">
        <v>168</v>
      </c>
      <c r="B27" s="392"/>
      <c r="C27" s="392"/>
      <c r="D27" s="392"/>
      <c r="E27" s="279" t="s">
        <v>167</v>
      </c>
      <c r="F27" s="285"/>
    </row>
    <row r="28" spans="1:10" ht="15" customHeight="1" x14ac:dyDescent="0.15">
      <c r="A28" s="392"/>
      <c r="B28" s="392"/>
      <c r="C28" s="392"/>
      <c r="D28" s="392"/>
      <c r="E28" s="279" t="s">
        <v>166</v>
      </c>
      <c r="F28" s="225"/>
    </row>
    <row r="29" spans="1:10" ht="18" customHeight="1" x14ac:dyDescent="0.15">
      <c r="A29" s="392"/>
      <c r="B29" s="392"/>
      <c r="C29" s="392"/>
      <c r="D29" s="392"/>
      <c r="E29" s="1" t="s">
        <v>144</v>
      </c>
      <c r="I29" s="279"/>
    </row>
  </sheetData>
  <mergeCells count="10">
    <mergeCell ref="D27:D29"/>
    <mergeCell ref="G2:M2"/>
    <mergeCell ref="A6:B6"/>
    <mergeCell ref="A1:F1"/>
    <mergeCell ref="A11:F11"/>
    <mergeCell ref="A12:C12"/>
    <mergeCell ref="D12:G12"/>
    <mergeCell ref="E6:F6"/>
    <mergeCell ref="A27:C29"/>
    <mergeCell ref="B2:F2"/>
  </mergeCells>
  <conditionalFormatting sqref="C7:C8">
    <cfRule type="expression" priority="1">
      <formula>"c7=b8"</formula>
    </cfRule>
  </conditionalFormatting>
  <hyperlinks>
    <hyperlink ref="D22" r:id="rId1" display="https://www.msu.edu/~kenfrank/papers/impact of a confounding variable.pdf" xr:uid="{00000000-0004-0000-0000-000000000000}"/>
    <hyperlink ref="E28" r:id="rId2" display="https://www.msu.edu/~kenfrank/quantifying the robustness of causal inferences.pptx" xr:uid="{00000000-0004-0000-0000-000001000000}"/>
    <hyperlink ref="E27" r:id="rId3" display="https://www.msu.edu/~kenfrank/KonFound-it!.xlsx" xr:uid="{00000000-0004-0000-0000-000002000000}"/>
    <hyperlink ref="A22" r:id="rId4" display="https://www.msu.edu/~kenfrank/What would it take to Change an Inference published.docx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P30"/>
  <sheetViews>
    <sheetView topLeftCell="A11" workbookViewId="0">
      <selection activeCell="C5" sqref="C5"/>
    </sheetView>
  </sheetViews>
  <sheetFormatPr baseColWidth="10" defaultColWidth="9.1640625" defaultRowHeight="13" x14ac:dyDescent="0.15"/>
  <cols>
    <col min="1" max="1" width="30.5" style="206" customWidth="1"/>
    <col min="2" max="2" width="16.5" style="206" customWidth="1"/>
    <col min="3" max="3" width="15.6640625" style="206" customWidth="1"/>
    <col min="4" max="4" width="18.1640625" style="206" customWidth="1"/>
    <col min="5" max="5" width="16.6640625" style="206" customWidth="1"/>
    <col min="6" max="6" width="18.6640625" style="206" customWidth="1"/>
    <col min="7" max="7" width="12.33203125" style="206" customWidth="1"/>
    <col min="8" max="8" width="9.1640625" style="206"/>
    <col min="9" max="11" width="9.5" style="206" bestFit="1" customWidth="1"/>
    <col min="12" max="12" width="10" style="206" customWidth="1"/>
    <col min="13" max="16384" width="9.1640625" style="206"/>
  </cols>
  <sheetData>
    <row r="1" spans="1:16" ht="28" thickBot="1" x14ac:dyDescent="0.3">
      <c r="B1" s="301" t="s">
        <v>178</v>
      </c>
    </row>
    <row r="2" spans="1:16" ht="18" thickTop="1" thickBot="1" x14ac:dyDescent="0.25">
      <c r="A2" s="326" t="s">
        <v>185</v>
      </c>
      <c r="B2" s="303"/>
      <c r="C2" s="303"/>
      <c r="D2" s="304"/>
      <c r="E2" s="237"/>
      <c r="H2" s="205" t="s">
        <v>218</v>
      </c>
    </row>
    <row r="3" spans="1:16" ht="20" thickTop="1" thickBot="1" x14ac:dyDescent="0.25">
      <c r="A3" s="309" t="s">
        <v>1</v>
      </c>
      <c r="B3" s="309" t="s">
        <v>6</v>
      </c>
      <c r="C3" s="309" t="s">
        <v>125</v>
      </c>
      <c r="D3" s="309" t="s">
        <v>2</v>
      </c>
      <c r="E3" s="309" t="s">
        <v>3</v>
      </c>
      <c r="F3" s="237" t="s">
        <v>30</v>
      </c>
      <c r="G3" s="237"/>
      <c r="I3" s="237"/>
      <c r="J3" s="237"/>
      <c r="K3" s="237"/>
      <c r="L3" s="237"/>
      <c r="M3" s="237"/>
      <c r="N3" s="237"/>
      <c r="O3" s="237"/>
      <c r="P3" s="237"/>
    </row>
    <row r="4" spans="1:16" ht="18" thickTop="1" thickBot="1" x14ac:dyDescent="0.25">
      <c r="A4" s="310">
        <f>Basics!C8</f>
        <v>-1.9602839214158896</v>
      </c>
      <c r="B4" s="311">
        <f>Basics!C4</f>
        <v>7639</v>
      </c>
      <c r="C4" s="312">
        <f>'correlation based'!A12</f>
        <v>-2.2427288460818678E-2</v>
      </c>
      <c r="D4" s="310">
        <f>'correlation based'!B12</f>
        <v>-13.249999999999998</v>
      </c>
      <c r="E4" s="312">
        <f>IF(B4&gt;0,+D4/SQRT(B4-2+D4*D4),0)</f>
        <v>-0.14990603798859534</v>
      </c>
      <c r="F4" s="313">
        <f>IF(E13&gt;0,E4*E10/E12,"")</f>
        <v>-0.68459393385575107</v>
      </c>
      <c r="G4" s="321"/>
      <c r="I4" s="237"/>
      <c r="J4" s="237"/>
      <c r="K4" s="237"/>
      <c r="L4" s="237"/>
      <c r="M4" s="237"/>
      <c r="N4" s="237"/>
      <c r="O4" s="237"/>
      <c r="P4" s="237"/>
    </row>
    <row r="5" spans="1:16" ht="18" thickTop="1" thickBot="1" x14ac:dyDescent="0.25">
      <c r="A5" s="237"/>
      <c r="B5" s="320" t="s">
        <v>184</v>
      </c>
      <c r="C5" s="316">
        <f>IF(B4&gt;0,G5/SQRT(E20),"")</f>
        <v>-2.2427288460818685E-2</v>
      </c>
      <c r="D5" s="89">
        <f>IF(E13&gt;0,SQRT(E5*F15),"")</f>
        <v>0.25469122359031332</v>
      </c>
      <c r="E5" s="89">
        <f>IF(E13&gt;0,(1-H13)*E12*E12+H13*F12*F12+(1-H13)*H13*(E11-F11)*(E11-F11),"")</f>
        <v>6.6051190659355968E-2</v>
      </c>
      <c r="F5" s="89">
        <f>IF(E13&gt;0,D5*D5,"")</f>
        <v>6.4867619373930971E-2</v>
      </c>
      <c r="G5" s="89">
        <f>IF(B4&gt;0,(1-H13)*E4*E12*E10+H13*B16*F12*F10+(1-H13)*H13*(E11-F11)*(A22-B22),"")</f>
        <v>-5.7120335398988253E-3</v>
      </c>
      <c r="I5" s="237"/>
      <c r="J5" s="237"/>
      <c r="K5" s="237"/>
      <c r="L5" s="237"/>
      <c r="M5" s="237"/>
      <c r="N5" s="237"/>
      <c r="O5" s="237"/>
      <c r="P5" s="237"/>
    </row>
    <row r="6" spans="1:16" ht="16" x14ac:dyDescent="0.2">
      <c r="A6" s="237"/>
      <c r="C6" s="317" t="str">
        <f>IF(B4&gt;0,IF(ABS(C5-C4)&gt;0.001,"NOT VERIFIED","verified, |D4-D5|&lt;.001"),"")</f>
        <v>verified, |D4-D5|&lt;.001</v>
      </c>
      <c r="D6" s="318"/>
      <c r="M6" s="237"/>
      <c r="N6" s="237"/>
      <c r="O6" s="237"/>
      <c r="P6" s="237"/>
    </row>
    <row r="7" spans="1:16" ht="17" thickBot="1" x14ac:dyDescent="0.25">
      <c r="A7" s="237"/>
      <c r="C7" s="237"/>
      <c r="E7" s="302" t="s">
        <v>186</v>
      </c>
      <c r="F7" s="302"/>
      <c r="G7" s="302"/>
      <c r="H7" s="302"/>
      <c r="I7" s="302"/>
      <c r="J7" s="302"/>
      <c r="K7" s="302"/>
      <c r="M7" s="237"/>
      <c r="N7" s="237"/>
      <c r="O7" s="237"/>
      <c r="P7" s="237"/>
    </row>
    <row r="8" spans="1:16" ht="18" thickTop="1" thickBot="1" x14ac:dyDescent="0.25">
      <c r="A8" s="341" t="s">
        <v>196</v>
      </c>
      <c r="B8" s="325" t="s">
        <v>189</v>
      </c>
      <c r="C8" s="306"/>
      <c r="D8" s="237"/>
      <c r="E8" s="441" t="s">
        <v>180</v>
      </c>
      <c r="F8" s="441"/>
      <c r="I8" s="237"/>
      <c r="J8" s="237"/>
      <c r="K8" s="237"/>
      <c r="L8" s="237"/>
      <c r="M8" s="237"/>
      <c r="N8" s="237"/>
      <c r="O8" s="237"/>
      <c r="P8" s="237"/>
    </row>
    <row r="9" spans="1:16" ht="18" thickTop="1" thickBot="1" x14ac:dyDescent="0.25">
      <c r="B9" s="315" t="s">
        <v>35</v>
      </c>
      <c r="C9" s="237"/>
      <c r="E9" s="340" t="s">
        <v>31</v>
      </c>
      <c r="F9" s="309" t="s">
        <v>32</v>
      </c>
      <c r="G9" s="237"/>
      <c r="H9" s="237"/>
      <c r="I9" s="237"/>
      <c r="J9" s="237"/>
      <c r="K9" s="237"/>
      <c r="L9" s="237"/>
      <c r="M9" s="237"/>
      <c r="N9" s="237"/>
      <c r="O9" s="237"/>
      <c r="P9" s="237"/>
    </row>
    <row r="10" spans="1:16" ht="18" thickTop="1" thickBot="1" x14ac:dyDescent="0.25">
      <c r="A10" s="328" t="s">
        <v>36</v>
      </c>
      <c r="B10" s="308">
        <v>200</v>
      </c>
      <c r="D10" s="309" t="s">
        <v>191</v>
      </c>
      <c r="E10" s="319">
        <f>Basics!G4</f>
        <v>0.99099999999999999</v>
      </c>
      <c r="F10" s="157">
        <f>E10</f>
        <v>0.99099999999999999</v>
      </c>
      <c r="G10" s="302" t="s">
        <v>177</v>
      </c>
      <c r="H10" s="302"/>
      <c r="I10" s="302"/>
      <c r="J10" s="237"/>
      <c r="K10" s="237"/>
      <c r="L10" s="237"/>
      <c r="M10" s="237"/>
      <c r="N10" s="237"/>
      <c r="O10" s="237"/>
      <c r="P10" s="237"/>
    </row>
    <row r="11" spans="1:16" ht="18" thickTop="1" thickBot="1" x14ac:dyDescent="0.25">
      <c r="A11" s="328" t="s">
        <v>37</v>
      </c>
      <c r="B11" s="308">
        <v>300</v>
      </c>
      <c r="C11" s="338"/>
      <c r="D11" s="339" t="s">
        <v>179</v>
      </c>
      <c r="E11" s="319">
        <f>(1-SQRT(1-4*E12*E12))/2</f>
        <v>4.9543564814531704E-2</v>
      </c>
      <c r="F11" s="157">
        <f>IF(E13&gt;0,B10/(B10+B11),"")</f>
        <v>0.4</v>
      </c>
      <c r="I11" s="237"/>
      <c r="J11" s="237"/>
      <c r="K11" s="237"/>
      <c r="L11" s="237"/>
      <c r="M11" s="237"/>
      <c r="N11" s="237"/>
      <c r="O11" s="237"/>
      <c r="P11" s="237"/>
    </row>
    <row r="12" spans="1:16" ht="18" thickTop="1" thickBot="1" x14ac:dyDescent="0.25">
      <c r="A12" s="237"/>
      <c r="B12" s="322"/>
      <c r="D12" s="309" t="s">
        <v>192</v>
      </c>
      <c r="E12" s="319">
        <f>Basics!H4</f>
        <v>0.217</v>
      </c>
      <c r="F12" s="157">
        <f>IF(E13&gt;0,SQRT(F11*(1-F11))*SQRT(F13/(F13-1)),"")</f>
        <v>0.49038858257900708</v>
      </c>
      <c r="G12" s="237"/>
      <c r="H12" s="237"/>
      <c r="I12" s="237"/>
      <c r="J12" s="237"/>
      <c r="K12" s="237"/>
      <c r="L12" s="237"/>
      <c r="M12" s="237"/>
      <c r="N12" s="237"/>
      <c r="O12" s="237"/>
      <c r="P12" s="237"/>
    </row>
    <row r="13" spans="1:16" ht="18" thickTop="1" thickBot="1" x14ac:dyDescent="0.25">
      <c r="D13" s="309" t="s">
        <v>117</v>
      </c>
      <c r="E13" s="324">
        <f>B4</f>
        <v>7639</v>
      </c>
      <c r="F13" s="323">
        <f>B10+B11</f>
        <v>500</v>
      </c>
      <c r="G13" s="89" t="s">
        <v>175</v>
      </c>
      <c r="H13" s="314">
        <f>IF(E13&gt;0,(B10+B11)/(B10+B11+E13),"")</f>
        <v>6.143260842855388E-2</v>
      </c>
      <c r="I13" s="237"/>
      <c r="J13" s="237"/>
      <c r="K13" s="237"/>
      <c r="L13" s="237"/>
      <c r="M13" s="237"/>
      <c r="N13" s="237"/>
      <c r="O13" s="237"/>
      <c r="P13" s="237"/>
    </row>
    <row r="14" spans="1:16" ht="18" thickTop="1" thickBot="1" x14ac:dyDescent="0.25">
      <c r="A14" s="327" t="s">
        <v>194</v>
      </c>
      <c r="F14" s="89"/>
      <c r="G14" s="89"/>
      <c r="H14" s="89"/>
      <c r="L14" s="237"/>
      <c r="M14" s="237"/>
      <c r="N14" s="237"/>
      <c r="O14" s="237"/>
      <c r="P14" s="237"/>
    </row>
    <row r="15" spans="1:16" ht="18" thickTop="1" thickBot="1" x14ac:dyDescent="0.25">
      <c r="A15" s="329" t="s">
        <v>183</v>
      </c>
      <c r="B15" s="330"/>
      <c r="C15" s="330"/>
      <c r="D15" s="330"/>
      <c r="E15" s="331"/>
      <c r="F15" s="89">
        <f>IF(E13&gt;0,(1-H13)*E10*E10+H13*F10*F10+(1-H13)*H13*(A22-B22)*(A22-B22),"")</f>
        <v>0.98208099999999998</v>
      </c>
      <c r="G15" s="89" t="s">
        <v>176</v>
      </c>
      <c r="H15" s="89">
        <f>IF(E13&gt;0,(1-H13)*E4*E12*E10+H13*(1-H13)*(E11-F11)*(A22-B22),"")</f>
        <v>-3.0256450352185316E-2</v>
      </c>
      <c r="L15" s="237"/>
      <c r="M15" s="237"/>
      <c r="N15" s="237"/>
      <c r="O15" s="237"/>
      <c r="P15" s="237"/>
    </row>
    <row r="16" spans="1:16" ht="18" thickTop="1" thickBot="1" x14ac:dyDescent="0.25">
      <c r="A16" s="332" t="s">
        <v>38</v>
      </c>
      <c r="B16" s="333">
        <f>IF(B4&gt;0,(C4*D5-H15)/(H13*F10*F12),"")</f>
        <v>0.82212860067575688</v>
      </c>
      <c r="C16" s="334" t="s">
        <v>181</v>
      </c>
      <c r="D16" s="335"/>
      <c r="E16" s="336"/>
      <c r="F16" s="335"/>
      <c r="G16" s="335"/>
      <c r="H16" s="336"/>
      <c r="I16" s="335"/>
      <c r="J16" s="335"/>
      <c r="K16" s="335"/>
      <c r="L16" s="334"/>
      <c r="M16" s="334"/>
      <c r="N16" s="334"/>
      <c r="O16" s="237"/>
      <c r="P16" s="237"/>
    </row>
    <row r="17" spans="1:16" ht="18" thickTop="1" thickBot="1" x14ac:dyDescent="0.25">
      <c r="A17" s="332" t="s">
        <v>39</v>
      </c>
      <c r="B17" s="333">
        <f>IF(B4&gt;0,B16*F10/F12,"")</f>
        <v>1.6613956201527451</v>
      </c>
      <c r="C17" s="334" t="s">
        <v>182</v>
      </c>
      <c r="D17" s="335"/>
      <c r="E17" s="336"/>
      <c r="F17" s="336"/>
      <c r="G17" s="336"/>
      <c r="H17" s="336"/>
      <c r="I17" s="334"/>
      <c r="J17" s="334"/>
      <c r="K17" s="334"/>
      <c r="L17" s="334"/>
      <c r="M17" s="237"/>
      <c r="N17" s="237"/>
      <c r="O17" s="237"/>
      <c r="P17" s="237"/>
    </row>
    <row r="18" spans="1:16" ht="17" thickTop="1" x14ac:dyDescent="0.2">
      <c r="A18" s="237"/>
      <c r="B18" s="309"/>
      <c r="C18" s="237"/>
      <c r="E18" s="89"/>
      <c r="F18" s="89"/>
      <c r="G18" s="89"/>
      <c r="H18" s="89"/>
      <c r="I18" s="237"/>
      <c r="J18" s="237"/>
      <c r="K18" s="237"/>
      <c r="L18" s="237"/>
      <c r="M18" s="237"/>
      <c r="N18" s="237"/>
      <c r="O18" s="237"/>
      <c r="P18" s="237"/>
    </row>
    <row r="19" spans="1:16" ht="16" x14ac:dyDescent="0.2">
      <c r="A19" s="327" t="s">
        <v>195</v>
      </c>
      <c r="B19" s="309"/>
      <c r="C19" s="237"/>
      <c r="E19" s="89"/>
      <c r="F19" s="89"/>
      <c r="G19" s="89"/>
      <c r="H19" s="89"/>
      <c r="I19" s="237"/>
      <c r="J19" s="237"/>
      <c r="K19" s="237"/>
      <c r="L19" s="237"/>
      <c r="M19" s="237"/>
      <c r="N19" s="237"/>
      <c r="O19" s="237"/>
      <c r="P19" s="237"/>
    </row>
    <row r="20" spans="1:16" ht="16" x14ac:dyDescent="0.2">
      <c r="A20" s="440" t="s">
        <v>190</v>
      </c>
      <c r="B20" s="440"/>
      <c r="C20" s="440"/>
      <c r="D20" s="309"/>
      <c r="E20" s="89">
        <f>IF(E13&gt;0,((1-H13)*E12*E12+H13*F12*F12+(1-H13)*H13*(E11-F11)*(E11-F11))*((1-H13)*E10*E10+H13*F10*F10+(1-H13)*H13*(A22-B22)*(A22-B22)),"")</f>
        <v>6.4867619373930971E-2</v>
      </c>
      <c r="F20" s="3"/>
      <c r="G20" s="89"/>
      <c r="H20" s="237"/>
      <c r="I20" s="237"/>
      <c r="K20" s="237"/>
      <c r="L20" s="237"/>
      <c r="M20" s="237"/>
      <c r="N20" s="237"/>
      <c r="O20" s="237"/>
      <c r="P20" s="237"/>
    </row>
    <row r="21" spans="1:16" ht="17" thickBot="1" x14ac:dyDescent="0.25">
      <c r="A21" s="309" t="s">
        <v>31</v>
      </c>
      <c r="B21" s="237" t="s">
        <v>32</v>
      </c>
      <c r="C21" s="309"/>
      <c r="D21" s="89"/>
      <c r="E21" s="89"/>
      <c r="F21" s="3"/>
      <c r="G21" s="89"/>
      <c r="H21" s="237"/>
      <c r="I21" s="237"/>
      <c r="K21" s="237"/>
      <c r="L21" s="237"/>
      <c r="M21" s="237"/>
      <c r="N21" s="237"/>
      <c r="O21" s="237"/>
      <c r="P21" s="237"/>
    </row>
    <row r="22" spans="1:16" ht="18" thickTop="1" thickBot="1" x14ac:dyDescent="0.25">
      <c r="A22" s="307">
        <v>0</v>
      </c>
      <c r="B22" s="157">
        <f>A22</f>
        <v>0</v>
      </c>
      <c r="C22" s="302" t="s">
        <v>193</v>
      </c>
      <c r="D22" s="302"/>
      <c r="E22" s="302"/>
      <c r="F22" s="302"/>
      <c r="G22" s="302"/>
      <c r="H22" s="302"/>
      <c r="I22" s="302"/>
      <c r="K22" s="237"/>
      <c r="L22" s="237"/>
      <c r="M22" s="237"/>
      <c r="N22" s="237"/>
      <c r="O22" s="237"/>
      <c r="P22" s="237"/>
    </row>
    <row r="23" spans="1:16" ht="18" thickTop="1" thickBot="1" x14ac:dyDescent="0.25">
      <c r="A23" s="309"/>
      <c r="B23" s="337" t="s">
        <v>32</v>
      </c>
      <c r="C23" s="237"/>
      <c r="D23" s="237"/>
      <c r="E23" s="237"/>
      <c r="F23" s="237"/>
      <c r="G23" s="237"/>
      <c r="H23" s="237"/>
      <c r="I23" s="237"/>
      <c r="K23" s="237"/>
      <c r="L23" s="237"/>
      <c r="M23" s="237"/>
      <c r="N23" s="237"/>
      <c r="O23" s="237"/>
      <c r="P23" s="237"/>
    </row>
    <row r="24" spans="1:16" ht="18" thickTop="1" thickBot="1" x14ac:dyDescent="0.25">
      <c r="A24" s="332" t="s">
        <v>36</v>
      </c>
      <c r="B24" s="333">
        <f>IF(B4&gt;0,B17+B25,"")</f>
        <v>0.99683737209164702</v>
      </c>
      <c r="C24" s="334" t="s">
        <v>187</v>
      </c>
      <c r="D24" s="334"/>
      <c r="E24" s="336"/>
      <c r="F24" s="336"/>
      <c r="G24" s="336"/>
      <c r="H24" s="237"/>
      <c r="I24" s="237"/>
      <c r="K24" s="237"/>
      <c r="L24" s="237"/>
      <c r="M24" s="237"/>
      <c r="N24" s="237"/>
      <c r="O24" s="237"/>
      <c r="P24" s="237"/>
    </row>
    <row r="25" spans="1:16" ht="18" thickTop="1" thickBot="1" x14ac:dyDescent="0.25">
      <c r="A25" s="332" t="s">
        <v>37</v>
      </c>
      <c r="B25" s="333">
        <f>IF(B4&gt;0,B22-F11*B17,"")</f>
        <v>-0.66455824806109809</v>
      </c>
      <c r="C25" s="334" t="s">
        <v>188</v>
      </c>
      <c r="D25" s="334"/>
      <c r="E25" s="334"/>
      <c r="F25" s="334"/>
      <c r="G25" s="334"/>
      <c r="H25" s="237"/>
      <c r="I25" s="237"/>
      <c r="K25" s="237"/>
      <c r="L25" s="237"/>
      <c r="M25" s="237"/>
      <c r="N25" s="237"/>
      <c r="O25" s="237"/>
      <c r="P25" s="237"/>
    </row>
    <row r="26" spans="1:16" ht="17" thickTop="1" x14ac:dyDescent="0.2"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</row>
    <row r="27" spans="1:16" ht="16" x14ac:dyDescent="0.2"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</row>
    <row r="28" spans="1:16" ht="16" x14ac:dyDescent="0.2">
      <c r="A28" s="305" t="s">
        <v>40</v>
      </c>
      <c r="B28" s="237"/>
      <c r="C28" s="237"/>
      <c r="D28" s="237"/>
      <c r="E28" s="237"/>
    </row>
    <row r="29" spans="1:16" ht="16" x14ac:dyDescent="0.2">
      <c r="A29" s="237"/>
      <c r="B29" s="237"/>
      <c r="C29" s="237"/>
      <c r="D29" s="237"/>
      <c r="E29" s="237"/>
    </row>
    <row r="30" spans="1:16" ht="16" x14ac:dyDescent="0.2">
      <c r="A30" s="237" t="s">
        <v>217</v>
      </c>
    </row>
  </sheetData>
  <customSheetViews>
    <customSheetView guid="{0EA9B495-FD28-404D-B849-E5531D863006}">
      <selection activeCell="D28" sqref="D28"/>
      <pageMargins left="0.75" right="0.75" top="1" bottom="1" header="0.5" footer="0.5"/>
      <headerFooter alignWithMargins="0"/>
    </customSheetView>
  </customSheetViews>
  <mergeCells count="2">
    <mergeCell ref="A20:C20"/>
    <mergeCell ref="E8:F8"/>
  </mergeCells>
  <phoneticPr fontId="1" type="noConversion"/>
  <hyperlinks>
    <hyperlink ref="A28" r:id="rId1" xr:uid="{00000000-0004-0000-08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workbookViewId="0">
      <selection activeCell="C3" sqref="C3"/>
    </sheetView>
  </sheetViews>
  <sheetFormatPr baseColWidth="10" defaultColWidth="8.83203125" defaultRowHeight="13" x14ac:dyDescent="0.15"/>
  <sheetData>
    <row r="1" spans="1:6" ht="27" x14ac:dyDescent="0.25">
      <c r="D1" s="2" t="s">
        <v>165</v>
      </c>
    </row>
    <row r="2" spans="1:6" ht="16" x14ac:dyDescent="0.2">
      <c r="A2" s="182" t="s">
        <v>3</v>
      </c>
      <c r="B2" s="183" t="s">
        <v>25</v>
      </c>
      <c r="C2" s="183" t="s">
        <v>26</v>
      </c>
      <c r="D2" s="184" t="s">
        <v>27</v>
      </c>
      <c r="E2" s="185" t="s">
        <v>114</v>
      </c>
      <c r="F2" s="356" t="s">
        <v>135</v>
      </c>
    </row>
    <row r="3" spans="1:6" ht="16" x14ac:dyDescent="0.2">
      <c r="A3" s="186">
        <v>-0.152</v>
      </c>
      <c r="B3" s="187">
        <f>-0.0479</f>
        <v>-4.7899999999999998E-2</v>
      </c>
      <c r="C3" s="187">
        <v>4.87E-2</v>
      </c>
      <c r="D3" s="188">
        <f>(A3-(B3*C3))/(SQRT(1-B3*B3)*SQRT(1-C3*C3))</f>
        <v>-0.15001726789912556</v>
      </c>
      <c r="E3" s="189">
        <f>(A3-B3*C3)/(1-B3^2)</f>
        <v>-0.15001145778886535</v>
      </c>
      <c r="F3">
        <f>B3*C3</f>
        <v>-2.3327299999999999E-3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:Q19"/>
  <sheetViews>
    <sheetView workbookViewId="0">
      <selection activeCell="M13" sqref="M13"/>
    </sheetView>
  </sheetViews>
  <sheetFormatPr baseColWidth="10" defaultColWidth="8.83203125" defaultRowHeight="13" x14ac:dyDescent="0.15"/>
  <cols>
    <col min="4" max="4" width="14" customWidth="1"/>
    <col min="5" max="5" width="12.5" customWidth="1"/>
  </cols>
  <sheetData>
    <row r="1" spans="1:17" ht="27" x14ac:dyDescent="0.25">
      <c r="E1" s="2" t="s">
        <v>222</v>
      </c>
      <c r="F1" s="2"/>
      <c r="G1" s="2"/>
    </row>
    <row r="2" spans="1:17" ht="18" x14ac:dyDescent="0.2">
      <c r="A2" s="75"/>
      <c r="B2" s="54"/>
      <c r="C2" s="54"/>
      <c r="D2" s="54"/>
      <c r="E2" s="54"/>
      <c r="F2" s="54"/>
      <c r="G2" s="442" t="s">
        <v>204</v>
      </c>
      <c r="H2" s="443"/>
      <c r="I2" s="443"/>
      <c r="J2" s="443"/>
      <c r="K2" s="444" t="s">
        <v>207</v>
      </c>
      <c r="L2" s="445"/>
      <c r="M2" s="445"/>
      <c r="N2" s="54"/>
      <c r="O2" s="444" t="s">
        <v>205</v>
      </c>
      <c r="P2" s="445"/>
      <c r="Q2" s="445"/>
    </row>
    <row r="3" spans="1:17" ht="14" thickBot="1" x14ac:dyDescent="0.2">
      <c r="A3" t="s">
        <v>6</v>
      </c>
      <c r="B3" t="s">
        <v>45</v>
      </c>
      <c r="C3" t="s">
        <v>43</v>
      </c>
      <c r="D3" t="s">
        <v>197</v>
      </c>
      <c r="E3" t="s">
        <v>2</v>
      </c>
      <c r="F3" t="s">
        <v>3</v>
      </c>
      <c r="G3" s="342" t="s">
        <v>198</v>
      </c>
      <c r="H3" s="342" t="s">
        <v>86</v>
      </c>
      <c r="I3" s="342" t="s">
        <v>199</v>
      </c>
      <c r="J3" s="342" t="s">
        <v>200</v>
      </c>
      <c r="K3" s="352" t="s">
        <v>206</v>
      </c>
      <c r="L3" s="352" t="s">
        <v>208</v>
      </c>
      <c r="M3" s="343" t="s">
        <v>201</v>
      </c>
      <c r="N3" s="344" t="s">
        <v>202</v>
      </c>
      <c r="O3" s="353" t="s">
        <v>209</v>
      </c>
      <c r="P3" s="344" t="s">
        <v>201</v>
      </c>
      <c r="Q3" s="344" t="s">
        <v>203</v>
      </c>
    </row>
    <row r="4" spans="1:17" ht="14" thickBot="1" x14ac:dyDescent="0.2">
      <c r="A4" s="345">
        <v>584</v>
      </c>
      <c r="B4" s="346">
        <v>-0.16370000000000001</v>
      </c>
      <c r="C4" s="346">
        <v>4.2799999999999998E-2</v>
      </c>
      <c r="D4" s="347">
        <f>C4*C4</f>
        <v>1.8318399999999997E-3</v>
      </c>
      <c r="E4" s="348">
        <f>B4/C4</f>
        <v>-3.8247663551401874</v>
      </c>
      <c r="F4" s="347">
        <f>+E4/SQRT(A4-2+E4*E4)</f>
        <v>-0.15658594944664042</v>
      </c>
      <c r="G4" s="349">
        <f>+(LN(F4+1)-LN(1-F4))/2</f>
        <v>-0.1578848984528613</v>
      </c>
      <c r="H4" s="349">
        <f>+(1/(A4-3))+(1/(A5-3))</f>
        <v>3.3795451885723421E-3</v>
      </c>
      <c r="I4" s="351">
        <f>+(G4-G5)/(SQRT(H4))</f>
        <v>-1.920797721996736</v>
      </c>
      <c r="J4" s="351">
        <f>2*(1-NORMSDIST(ABS(I4)))</f>
        <v>5.4757213787817616E-2</v>
      </c>
      <c r="K4" s="351">
        <f>(B4-B5)*(B4-B5)/(C4*C4-C5*C5)</f>
        <v>13.465395576835389</v>
      </c>
      <c r="L4" s="351">
        <f>(B4-B5)/(SQRT(ABS(D4-D5)))</f>
        <v>-3.6695225270919631</v>
      </c>
      <c r="M4" s="350">
        <f>CHIDIST(K4,1)</f>
        <v>2.4300392427985758E-4</v>
      </c>
      <c r="N4" s="350">
        <f>L4*L4</f>
        <v>13.465395576835387</v>
      </c>
      <c r="O4" s="350">
        <f>((B4-B5)/SQRT(C4*C4+C5*C5))^2</f>
        <v>12.37308828458896</v>
      </c>
      <c r="P4" s="350">
        <f>CHIDIST(O4,1)</f>
        <v>4.3556655077323596E-4</v>
      </c>
      <c r="Q4" s="350">
        <f>SQRT(O4)</f>
        <v>3.5175400899760842</v>
      </c>
    </row>
    <row r="5" spans="1:17" ht="14" thickBot="1" x14ac:dyDescent="0.2">
      <c r="A5" s="345">
        <v>606</v>
      </c>
      <c r="B5" s="346">
        <v>-0.01</v>
      </c>
      <c r="C5" s="346">
        <v>8.8000000000000005E-3</v>
      </c>
      <c r="D5" s="347">
        <f>C5*C5</f>
        <v>7.7440000000000004E-5</v>
      </c>
      <c r="E5" s="348">
        <f t="shared" ref="E5" si="0">B5/C5</f>
        <v>-1.1363636363636362</v>
      </c>
      <c r="F5" s="347">
        <f>+E5/SQRT(A5-2+E5*E5)</f>
        <v>-4.6188632460855687E-2</v>
      </c>
      <c r="G5" s="349">
        <f>+(LN(F5+1)-LN(1-F5))/2</f>
        <v>-4.6221520687814432E-2</v>
      </c>
      <c r="H5" s="342"/>
      <c r="I5" s="342"/>
      <c r="J5" s="342"/>
      <c r="K5" s="342"/>
      <c r="L5" s="342"/>
    </row>
    <row r="7" spans="1:17" ht="14" thickBot="1" x14ac:dyDescent="0.2">
      <c r="A7" s="1" t="s">
        <v>220</v>
      </c>
    </row>
    <row r="8" spans="1:17" ht="14" thickBot="1" x14ac:dyDescent="0.2">
      <c r="A8" s="345">
        <f>Basics!A8</f>
        <v>7416</v>
      </c>
      <c r="F8" s="349">
        <f>'correlation based'!C21</f>
        <v>-0.15208237916975162</v>
      </c>
      <c r="G8" s="349">
        <f>+(LN(F8+1)-LN(1-F8))/2</f>
        <v>-0.15327143128472792</v>
      </c>
      <c r="H8" s="349">
        <f>+(1/(A8-3))+(1/(A9-3))</f>
        <v>2.6979630379063809E-4</v>
      </c>
      <c r="I8" s="351">
        <f>+(G8-G9)/(SQRT(H8))</f>
        <v>-15.843813804432191</v>
      </c>
      <c r="J8" s="351">
        <f>2*(1-NORMSDIST(ABS(I8)))</f>
        <v>0</v>
      </c>
      <c r="K8" s="342"/>
      <c r="L8" s="342"/>
    </row>
    <row r="9" spans="1:17" ht="14" thickBot="1" x14ac:dyDescent="0.2">
      <c r="A9" s="345">
        <f>A8</f>
        <v>7416</v>
      </c>
      <c r="F9" s="349">
        <f>'correlation based'!I23</f>
        <v>0.1065646181234092</v>
      </c>
      <c r="G9" s="349">
        <f>+(LN(F9+1)-LN(1-F9))/2</f>
        <v>0.10697077234745218</v>
      </c>
      <c r="H9" s="342"/>
      <c r="I9" s="342"/>
      <c r="J9" s="342"/>
      <c r="K9" s="342"/>
      <c r="L9" s="342"/>
    </row>
    <row r="11" spans="1:17" ht="14" thickBot="1" x14ac:dyDescent="0.2">
      <c r="A11" s="1" t="s">
        <v>221</v>
      </c>
    </row>
    <row r="12" spans="1:17" ht="14" thickBot="1" x14ac:dyDescent="0.2">
      <c r="A12" s="345">
        <f>Basics!C4-3</f>
        <v>7636</v>
      </c>
      <c r="F12" s="349">
        <f>'correlation based'!C12</f>
        <v>-0.14990603798859534</v>
      </c>
      <c r="G12" s="349">
        <f>+(LN(F12+1)-LN(1-F12))/2</f>
        <v>-0.15104431250229658</v>
      </c>
      <c r="H12" s="349">
        <f>+(1/(A12-3))+(1/(A13-3))</f>
        <v>2.6202017555351765E-4</v>
      </c>
      <c r="I12" s="351">
        <f>+(G12-G13)/(SQRT(H12))</f>
        <v>-15.845073506052614</v>
      </c>
      <c r="J12" s="351">
        <f>2*(1-NORMSDIST(ABS(I12)))</f>
        <v>0</v>
      </c>
    </row>
    <row r="13" spans="1:17" ht="14" thickBot="1" x14ac:dyDescent="0.2">
      <c r="A13" s="345">
        <f>A12</f>
        <v>7636</v>
      </c>
      <c r="F13" s="349">
        <f>'correlation based'!I14</f>
        <v>0.10505146106695798</v>
      </c>
      <c r="G13" s="349">
        <f>+(LN(F13+1)-LN(1-F13))/2</f>
        <v>0.10544048287292458</v>
      </c>
      <c r="H13" s="342"/>
      <c r="I13" s="342"/>
      <c r="J13" s="342"/>
    </row>
    <row r="14" spans="1:17" x14ac:dyDescent="0.15">
      <c r="A14" s="354" t="s">
        <v>210</v>
      </c>
    </row>
    <row r="15" spans="1:17" x14ac:dyDescent="0.15">
      <c r="A15" s="354" t="s">
        <v>211</v>
      </c>
    </row>
    <row r="17" spans="1:10" x14ac:dyDescent="0.15">
      <c r="A17" s="1" t="s">
        <v>212</v>
      </c>
    </row>
    <row r="18" spans="1:10" x14ac:dyDescent="0.15">
      <c r="A18" s="446" t="s">
        <v>213</v>
      </c>
      <c r="B18" s="434"/>
      <c r="C18" s="434"/>
      <c r="D18" s="434"/>
      <c r="E18" s="434"/>
      <c r="F18" s="434"/>
      <c r="G18" s="434"/>
      <c r="H18" s="434"/>
      <c r="I18" s="434"/>
      <c r="J18" s="434"/>
    </row>
    <row r="19" spans="1:10" x14ac:dyDescent="0.15">
      <c r="A19" s="355"/>
    </row>
  </sheetData>
  <customSheetViews>
    <customSheetView guid="{0EA9B495-FD28-404D-B849-E5531D863006}">
      <selection activeCell="C1" sqref="C1"/>
      <pageMargins left="0.75" right="0.75" top="1" bottom="1" header="0.5" footer="0.5"/>
      <headerFooter alignWithMargins="0"/>
    </customSheetView>
  </customSheetViews>
  <mergeCells count="4">
    <mergeCell ref="G2:J2"/>
    <mergeCell ref="K2:M2"/>
    <mergeCell ref="O2:Q2"/>
    <mergeCell ref="A18:J18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49"/>
  <sheetViews>
    <sheetView topLeftCell="A2" zoomScale="80" zoomScaleNormal="80" workbookViewId="0">
      <selection activeCell="E8" sqref="E8"/>
    </sheetView>
  </sheetViews>
  <sheetFormatPr baseColWidth="10" defaultColWidth="8.83203125" defaultRowHeight="13" x14ac:dyDescent="0.15"/>
  <cols>
    <col min="1" max="1" width="25.6640625" customWidth="1"/>
    <col min="2" max="2" width="14.6640625" customWidth="1"/>
    <col min="4" max="4" width="15.83203125" customWidth="1"/>
    <col min="5" max="5" width="21.5" customWidth="1"/>
    <col min="6" max="6" width="32.5" customWidth="1"/>
    <col min="7" max="7" width="31" customWidth="1"/>
    <col min="8" max="8" width="17.5" style="70" customWidth="1"/>
    <col min="9" max="9" width="32" customWidth="1"/>
    <col min="10" max="10" width="32.33203125" customWidth="1"/>
    <col min="11" max="11" width="17.33203125" customWidth="1"/>
    <col min="12" max="12" width="10.33203125" bestFit="1" customWidth="1"/>
  </cols>
  <sheetData>
    <row r="1" spans="1:12" ht="30" thickBot="1" x14ac:dyDescent="0.3">
      <c r="A1" s="404" t="s">
        <v>161</v>
      </c>
      <c r="B1" s="404"/>
      <c r="C1" s="404"/>
      <c r="D1" s="404"/>
      <c r="E1" s="404"/>
      <c r="F1" s="405"/>
      <c r="G1" s="406"/>
      <c r="H1" s="69" t="s">
        <v>109</v>
      </c>
      <c r="I1" s="68"/>
      <c r="J1" s="68"/>
      <c r="K1" s="2"/>
    </row>
    <row r="2" spans="1:12" ht="20" thickTop="1" thickBot="1" x14ac:dyDescent="0.25">
      <c r="A2" s="141" t="s">
        <v>42</v>
      </c>
      <c r="B2" s="142" t="s">
        <v>43</v>
      </c>
      <c r="C2" s="143" t="s">
        <v>1</v>
      </c>
      <c r="D2" s="144" t="s">
        <v>75</v>
      </c>
      <c r="E2" s="145" t="s">
        <v>123</v>
      </c>
      <c r="F2" s="358" t="str">
        <f>IF(B3 &gt; 0,IF(AND(((ABS(A3)&gt;ABS(E3))),(A3*E3&gt;0)),"% bias to invalidate","% null cases to remove"),"% bias to invalidate")</f>
        <v>% bias to invalidate</v>
      </c>
      <c r="G2" s="208" t="s">
        <v>76</v>
      </c>
      <c r="H2" s="211" t="s">
        <v>16</v>
      </c>
      <c r="I2" s="359" t="str">
        <f>IF(B3 &gt; 0,IF(AND(((ABS(I5)&gt;ABS(I4))),(A3*E3&gt;0)),"% bias to invalidate","% null cases to remove"),"% bias to invalidate")</f>
        <v>% bias to invalidate</v>
      </c>
      <c r="J2" s="212" t="s">
        <v>108</v>
      </c>
      <c r="K2" s="167" t="s">
        <v>68</v>
      </c>
      <c r="L2" s="168">
        <v>1.0000000000000001E-5</v>
      </c>
    </row>
    <row r="3" spans="1:12" ht="24" thickBot="1" x14ac:dyDescent="0.3">
      <c r="A3" s="147">
        <f>Basics!A4</f>
        <v>-9.01</v>
      </c>
      <c r="B3" s="147">
        <f>Basics!B4</f>
        <v>0.68</v>
      </c>
      <c r="C3" s="148">
        <f>Basics!C8</f>
        <v>-1.9602839214158896</v>
      </c>
      <c r="D3" s="147">
        <f>Basics!F4</f>
        <v>0</v>
      </c>
      <c r="E3" s="202">
        <f>D3+B3*C3</f>
        <v>-1.3329930665628049</v>
      </c>
      <c r="F3" s="360">
        <f>IF(AND(B3 &gt; 0,ABS(A3)&gt;0),IF(AND((ABS(A3)&gt;ABS(E3)),A3*E3&gt;0),1-E3/(A3),1-A3/(E3)),"")</f>
        <v>0.85205404366672532</v>
      </c>
      <c r="G3" s="209">
        <f>IF(AND(ABS(A3)&gt;0,B3 &gt; 0),IF(AND((ABS(A3)&gt;ABS(E3)),A3*E3&gt;0),(1-F3)*A3,A3/(1-F3)),"")</f>
        <v>-1.3329930665628047</v>
      </c>
      <c r="H3" s="275">
        <f>Basics!A8</f>
        <v>7416</v>
      </c>
      <c r="I3" s="215">
        <f>IF(AND(ABS(A3)&gt;0,B3&gt;0),IF(AND(B3&gt;0,ABS(A3)&gt;ABS(E3),A3*E3&gt;0),1-I4/I5,1-I5/I4),"")</f>
        <v>0.85035185567233129</v>
      </c>
      <c r="J3" s="213">
        <f>IF(B3 &gt; 0,IF(AND((ABS(A3)&gt;ABS(E3)),A3*E3&gt;0),(1-I3)*I5,I5/(1-I3)),"")</f>
        <v>-2.2757346821698023E-2</v>
      </c>
      <c r="K3" s="169"/>
      <c r="L3" s="170"/>
    </row>
    <row r="4" spans="1:12" ht="18" x14ac:dyDescent="0.2">
      <c r="A4" s="150" t="s">
        <v>2</v>
      </c>
      <c r="B4" s="150">
        <f>IF(B3 &gt;0,(A3-D3)/B3,"")</f>
        <v>-13.249999999999998</v>
      </c>
      <c r="C4" s="151"/>
      <c r="D4" s="66"/>
      <c r="E4" s="152" t="s">
        <v>124</v>
      </c>
      <c r="F4" s="210" t="str">
        <f>IF(ABS(A3)&gt;ABS(E5),"% bias to invalidate","% null cases to remove")</f>
        <v>% bias to invalidate</v>
      </c>
      <c r="G4" s="146" t="str">
        <f>IF(F5="Not applicable","","verification: compare with E5")</f>
        <v/>
      </c>
      <c r="H4" s="153" t="s">
        <v>125</v>
      </c>
      <c r="I4" s="214">
        <f>C3/SQRT(C3^2+H3)</f>
        <v>-2.275734682169802E-2</v>
      </c>
      <c r="J4" s="154"/>
      <c r="K4" s="54"/>
      <c r="L4" s="54"/>
    </row>
    <row r="5" spans="1:12" ht="17" thickBot="1" x14ac:dyDescent="0.25">
      <c r="A5" s="66"/>
      <c r="B5" s="66"/>
      <c r="C5" s="66"/>
      <c r="D5" s="66"/>
      <c r="E5" s="155">
        <v>0</v>
      </c>
      <c r="F5" s="156" t="str">
        <f>IF(AND(B3 &gt; 0,ABS(A3)&gt;0,ABS(E5)&gt;0),IF(AND((ABS(A3)&gt;ABS(E5)),A3*E5&gt;0),1-E5/A3,1-A3/E5),"Not applicable")</f>
        <v>Not applicable</v>
      </c>
      <c r="G5" s="149" t="str">
        <f>IF(AND(ABS(A3)&gt;0,B3&gt;0,ABS(E5)&gt;0),IF(AND((ABS(A3)&gt;ABS(E5)),A3*E5&gt;0),(1-F5)*A3,A3/(1-F5)),"")</f>
        <v/>
      </c>
      <c r="H5" s="157" t="s">
        <v>107</v>
      </c>
      <c r="I5" s="158">
        <f>IF(B3&gt;0,B4/SQRT(B4^2+H3),"")</f>
        <v>-0.15207236229985363</v>
      </c>
      <c r="J5" s="66" t="str">
        <f>IF(B5 &gt; 0,IF(AND((ABS(A5)&gt;ABS(E5)),A5*E5&gt;0),(1-F5)*A5,F5*A5),"")</f>
        <v/>
      </c>
      <c r="K5" s="67" t="str">
        <f>IF(B5 &gt; 0,IF(ABS(J5-E5)&lt;L4,"VERIFIED","NOT VERIFIED"),"")</f>
        <v/>
      </c>
    </row>
    <row r="6" spans="1:12" ht="18" thickTop="1" thickBot="1" x14ac:dyDescent="0.25">
      <c r="A6" s="364" t="s">
        <v>44</v>
      </c>
      <c r="B6" s="365"/>
      <c r="C6" s="66"/>
      <c r="D6" s="66"/>
      <c r="E6" s="159" t="s">
        <v>111</v>
      </c>
      <c r="F6" s="160" t="str">
        <f>IF(ABS(A3)&gt;ABS(E3),"% cases to replace with null","% null cases to remove")</f>
        <v>% cases to replace with null</v>
      </c>
      <c r="G6" s="361" t="str">
        <f>IF(B3&gt;0,"verification: compare with E3","")</f>
        <v>verification: compare with E3</v>
      </c>
      <c r="H6" s="66"/>
      <c r="I6" s="66"/>
      <c r="J6" s="66"/>
    </row>
    <row r="7" spans="1:12" ht="17" thickBot="1" x14ac:dyDescent="0.25">
      <c r="A7" s="161" t="s">
        <v>69</v>
      </c>
      <c r="B7" s="66"/>
      <c r="C7" s="66"/>
      <c r="D7" s="66"/>
      <c r="E7" s="155">
        <v>2</v>
      </c>
      <c r="F7" s="162">
        <f>IF(B3&gt;0,IF(ABS(A3)&gt;ABS(E3),(A3-E3)/(A3-E7),(A3-E3)/(E7-E3)),"Not applicable")</f>
        <v>0.69727583409965443</v>
      </c>
      <c r="G7" s="149">
        <f>IF(B3&gt;0,IF(ABS(A3)&gt;ABS(E3),F7*E7+(1-F7)*A3,(A3-E7*F7)/(1-F7)), "")</f>
        <v>-1.3329930665628045</v>
      </c>
      <c r="H7" s="66"/>
      <c r="I7" s="66"/>
      <c r="J7" s="66"/>
    </row>
    <row r="8" spans="1:12" ht="20" x14ac:dyDescent="0.2">
      <c r="A8" s="163" t="s">
        <v>73</v>
      </c>
      <c r="B8" s="163"/>
      <c r="C8" s="163"/>
      <c r="D8" s="163"/>
      <c r="E8" s="163"/>
      <c r="F8" s="207" t="s">
        <v>139</v>
      </c>
      <c r="G8" s="66"/>
      <c r="H8" s="164"/>
      <c r="I8" s="207" t="s">
        <v>143</v>
      </c>
      <c r="J8" s="66"/>
    </row>
    <row r="9" spans="1:12" ht="16" x14ac:dyDescent="0.2">
      <c r="A9" s="165" t="s">
        <v>71</v>
      </c>
      <c r="B9" s="66"/>
      <c r="C9" s="89"/>
      <c r="D9" s="66"/>
      <c r="E9" s="66"/>
      <c r="F9" s="228" t="str">
        <f>IF(F3="","",IF(ABS(A3)&gt;ABS(E3),"To invalidate the inference ","To sustain an inference " )&amp;TEXT(100*F3,"##")&amp;"% ")</f>
        <v xml:space="preserve">To invalidate the inference 85% </v>
      </c>
      <c r="G9" s="66"/>
      <c r="H9" s="164"/>
      <c r="I9" s="228" t="str">
        <f>IF(I3="","",IF(ABS(A3)&gt;ABS(E3)," To invalidate the inference "&amp;TEXT(100*I3,"##")&amp;"% of the cases would have","To sustain an inference " &amp;TEXT(100*I3,"##")&amp;"% of the cases with 0 effect"))</f>
        <v xml:space="preserve"> To invalidate the inference 85% of the cases would have</v>
      </c>
      <c r="J9" s="66"/>
      <c r="K9" s="66"/>
    </row>
    <row r="10" spans="1:12" ht="16" x14ac:dyDescent="0.2">
      <c r="A10" s="90" t="str">
        <f>IF(A3*C3 &lt;0,"Note:The threshold you specified is of opposite sign than your estimated effect","")</f>
        <v/>
      </c>
      <c r="B10" s="66"/>
      <c r="C10" s="89"/>
      <c r="D10" s="66"/>
      <c r="E10" s="66"/>
      <c r="F10" s="228" t="str">
        <f>IF(F3="","","of the estimated effect would have to be due to bias")</f>
        <v>of the estimated effect would have to be due to bias</v>
      </c>
      <c r="G10" s="66"/>
      <c r="H10" s="164"/>
      <c r="I10" s="228" t="str">
        <f>IF(F3="","",IF(ABS(A3)&gt;ABS(E3)," to be replaced with cases for which there is an effect of"&amp;IF(D3=0,"zero.",TEXT(D3,"##.##")),"would have to be replaced with cases at the threshold for inference"))</f>
        <v xml:space="preserve"> to be replaced with cases for which there is an effect ofzero.</v>
      </c>
      <c r="J10" s="66"/>
      <c r="K10" s="66"/>
    </row>
    <row r="11" spans="1:12" ht="16" x14ac:dyDescent="0.2">
      <c r="A11" s="90"/>
      <c r="B11" s="66"/>
      <c r="C11" s="89"/>
      <c r="D11" s="66"/>
      <c r="E11" s="66"/>
      <c r="F11" s="228" t="str">
        <f>IF(F3="","",IF(ABS(A3)&gt;ABS(E3),"To invalidate the inference "&amp;TEXT(100*F3,"##")&amp;"% ("  &amp;TEXT(Basics!C4*F3,"####")&amp;") of the cases would have","To sustain an inference " &amp;TEXT(100*F3,"##")&amp;"% of the cases with 0 effect "))</f>
        <v>To invalidate the inference 85% (6509) of the cases would have</v>
      </c>
      <c r="G11" s="66"/>
      <c r="H11" s="164"/>
      <c r="I11" s="228"/>
      <c r="J11" s="66"/>
      <c r="K11" s="66"/>
    </row>
    <row r="12" spans="1:12" ht="16" x14ac:dyDescent="0.2">
      <c r="A12" s="90"/>
      <c r="B12" s="66"/>
      <c r="C12" s="89"/>
      <c r="D12" s="66"/>
      <c r="E12" s="66"/>
      <c r="F12" s="228" t="str">
        <f>IF(F3="","",IF(ABS(A3)&gt;ABS(E3),"to be replaced with cases for which there is an effect of "&amp;IF(D3=0,"zero.",TEXT(D3,"##.##")),"would have to be replaced with cases at the threshold for inference"))</f>
        <v>to be replaced with cases for which there is an effect of zero.</v>
      </c>
      <c r="G12" s="66"/>
      <c r="H12" s="164"/>
      <c r="I12" s="228"/>
      <c r="J12" s="66"/>
      <c r="K12" s="66"/>
    </row>
    <row r="13" spans="1:12" ht="16" x14ac:dyDescent="0.2">
      <c r="A13" s="279" t="s">
        <v>156</v>
      </c>
      <c r="B13" s="66"/>
      <c r="C13" s="66"/>
      <c r="D13" s="66"/>
      <c r="E13" s="66"/>
      <c r="G13" s="89" t="str">
        <f>IF(B3 &gt; 0,IF(ABS(G3-E3)&lt;L2,"TRUE","FALSE"),"")</f>
        <v>TRUE</v>
      </c>
      <c r="H13" s="164"/>
      <c r="I13" s="66"/>
      <c r="J13" s="89" t="str">
        <f>IF(AND(A3&gt;E3,B3 &gt; 0),IF(ABS(J3-I4)&lt;L2,"TRUE","FALSE"),"")</f>
        <v/>
      </c>
    </row>
    <row r="14" spans="1:12" ht="16" x14ac:dyDescent="0.2">
      <c r="A14" s="284" t="s">
        <v>155</v>
      </c>
      <c r="B14" s="66"/>
      <c r="C14" s="66"/>
      <c r="D14" s="66"/>
      <c r="E14" s="66"/>
      <c r="F14" s="66"/>
      <c r="G14" s="89" t="str">
        <f>IF(F5="Not applicable","",IF(B3 &gt; 0,IF(ABS(G5-E5)&lt;L2,"TRUE","FALSE"),""))</f>
        <v/>
      </c>
      <c r="H14" s="164"/>
      <c r="I14" s="66"/>
      <c r="J14" s="66"/>
    </row>
    <row r="15" spans="1:12" ht="16" x14ac:dyDescent="0.2">
      <c r="A15" s="66" t="s">
        <v>159</v>
      </c>
      <c r="B15" s="66"/>
      <c r="C15" s="66"/>
      <c r="D15" s="66"/>
      <c r="E15" s="66"/>
      <c r="F15" s="279" t="s">
        <v>41</v>
      </c>
      <c r="G15" s="89" t="str">
        <f>IF(ABS(A3)&gt;ABS(E3),IF(AND(ABS(A3)&gt;ABS(E3),B3 &gt; 0),IF(ABS(G7-E3)&lt;L2,"TRUE","FALSE"),""),"")</f>
        <v>TRUE</v>
      </c>
      <c r="H15" s="164"/>
      <c r="I15" s="66"/>
      <c r="J15" s="66"/>
    </row>
    <row r="16" spans="1:12" ht="16" x14ac:dyDescent="0.2">
      <c r="A16" s="66"/>
      <c r="B16" s="66"/>
      <c r="C16" s="66" t="s">
        <v>250</v>
      </c>
      <c r="D16" s="66" t="s">
        <v>249</v>
      </c>
      <c r="E16" s="66" t="s">
        <v>251</v>
      </c>
      <c r="F16" s="66" t="s">
        <v>252</v>
      </c>
      <c r="G16" s="66" t="s">
        <v>253</v>
      </c>
      <c r="H16" s="164" t="s">
        <v>254</v>
      </c>
      <c r="I16" s="372" t="s">
        <v>256</v>
      </c>
      <c r="J16" s="66"/>
    </row>
    <row r="17" spans="1:12" ht="16" x14ac:dyDescent="0.2">
      <c r="A17" s="66"/>
      <c r="B17" s="66"/>
      <c r="C17" s="66">
        <f>Basics!H4</f>
        <v>0.217</v>
      </c>
      <c r="D17" s="66">
        <f>Basics!G4</f>
        <v>0.99099999999999999</v>
      </c>
      <c r="E17" s="66">
        <f>B3*C17*SQRT(H3)</f>
        <v>12.707306555584466</v>
      </c>
      <c r="F17" s="66">
        <f>E17/SQRT(1-I4^2)</f>
        <v>12.710598371174529</v>
      </c>
      <c r="G17" s="66">
        <f>1-I4/I5</f>
        <v>0.85035185567233129</v>
      </c>
      <c r="H17" s="164">
        <f>SQRT((F17^2-(1-G17)*D17^2)/G17)</f>
        <v>13.777456254083832</v>
      </c>
      <c r="I17" s="237">
        <f>1-SQRT(I4^2*(1-'correlation based'!C27)/(Basics!I4-'correlation based'!C27))</f>
        <v>0.8503617122119278</v>
      </c>
      <c r="J17" s="66"/>
    </row>
    <row r="18" spans="1:12" ht="16" x14ac:dyDescent="0.2">
      <c r="A18" s="66"/>
      <c r="B18" s="66"/>
      <c r="C18" s="66"/>
      <c r="D18" s="66"/>
      <c r="E18" s="66"/>
      <c r="F18" s="66"/>
      <c r="G18" s="66"/>
      <c r="H18" s="164"/>
      <c r="I18" s="66"/>
      <c r="J18" s="66"/>
    </row>
    <row r="19" spans="1:12" ht="16" x14ac:dyDescent="0.2">
      <c r="A19" s="166" t="str">
        <f>IF(B3&gt; 0, IF(AND(((ABS(A3)&gt;ABS(E3))),(A3*E3&gt;0)),"% bias to invalidate the inference indicates how much bias there must be to make the inference invalid","multiplier to make significant indicates quantity one must multiply effect by to sustain inference"),"")</f>
        <v>% bias to invalidate the inference indicates how much bias there must be to make the inference invalid</v>
      </c>
      <c r="B19" s="166"/>
      <c r="C19" s="166"/>
      <c r="D19" s="166"/>
      <c r="E19" s="166"/>
      <c r="F19" s="166"/>
      <c r="G19" s="66"/>
      <c r="H19" s="164"/>
      <c r="I19" s="66"/>
      <c r="J19" s="66"/>
    </row>
    <row r="20" spans="1:12" ht="16" x14ac:dyDescent="0.2">
      <c r="A20" s="66"/>
      <c r="B20" s="66" t="s">
        <v>113</v>
      </c>
      <c r="C20" s="66"/>
      <c r="D20" s="66"/>
      <c r="E20" s="66"/>
      <c r="F20" s="66" t="s">
        <v>80</v>
      </c>
      <c r="G20" s="66"/>
      <c r="H20" s="164"/>
      <c r="I20" s="403" t="s">
        <v>110</v>
      </c>
      <c r="J20" s="403"/>
      <c r="L20" s="1"/>
    </row>
    <row r="21" spans="1:12" x14ac:dyDescent="0.15">
      <c r="A21" s="71"/>
      <c r="B21" s="4"/>
      <c r="C21" s="4"/>
    </row>
    <row r="22" spans="1:12" x14ac:dyDescent="0.15">
      <c r="A22" s="4" t="s">
        <v>77</v>
      </c>
      <c r="B22" s="71" t="s">
        <v>78</v>
      </c>
      <c r="C22" s="4"/>
      <c r="I22" t="s">
        <v>78</v>
      </c>
    </row>
    <row r="23" spans="1:12" x14ac:dyDescent="0.15">
      <c r="A23" s="72" t="s">
        <v>78</v>
      </c>
      <c r="B23" s="72" t="s">
        <v>78</v>
      </c>
      <c r="C23" s="4"/>
      <c r="I23" s="73">
        <f>IF(B3 &gt; 0,IF(AND(((ABS(I5)&gt;ABS(I4))),(A3*E3&gt;0)),ABS(I4),""),"")</f>
        <v>2.275734682169802E-2</v>
      </c>
    </row>
    <row r="24" spans="1:12" x14ac:dyDescent="0.15">
      <c r="A24" s="4">
        <f>IF(B3 &gt; 0,IF(AND(((ABS(A3)&gt;ABS(E3))),(A3*E3&gt;0)),ABS(E3),""),"")</f>
        <v>1.3329930665628049</v>
      </c>
      <c r="B24" s="4" t="str">
        <f>IF(B3 &gt; 0,IF(AND(((ABS(A3)&gt;ABS(E5))),(A3*E5&gt;0)),ABS(E5),""),"")</f>
        <v/>
      </c>
      <c r="C24" s="4"/>
      <c r="I24" s="73">
        <f>IF(B3 &gt; 0,IF(AND(((ABS(I5)&gt;ABS(I4))),(A3*I4&gt;0)),ABS(I5-I4),""),"")</f>
        <v>0.1293150154781556</v>
      </c>
    </row>
    <row r="25" spans="1:12" x14ac:dyDescent="0.15">
      <c r="A25" s="4">
        <f>IF(B3 &gt; 0,IF(AND(((ABS(A3)&gt;ABS(E3))),(A3*E3&gt;0)),ABS(A3-E3),""),"")</f>
        <v>7.6770069334371946</v>
      </c>
      <c r="B25" s="4" t="str">
        <f>IF(B3 &gt; 0,IF(AND(((ABS(A3)&gt;ABS(E5))),(A3*E5&gt;0)),ABS(A3-E5),""),"")</f>
        <v/>
      </c>
      <c r="C25" s="4"/>
    </row>
    <row r="26" spans="1:12" x14ac:dyDescent="0.15">
      <c r="A26" s="4"/>
      <c r="B26" s="4"/>
      <c r="C26" s="4"/>
    </row>
    <row r="27" spans="1:12" x14ac:dyDescent="0.15">
      <c r="A27" s="4"/>
      <c r="B27" s="4"/>
      <c r="C27" s="4"/>
    </row>
    <row r="28" spans="1:12" x14ac:dyDescent="0.15">
      <c r="A28" s="4"/>
      <c r="B28" s="4"/>
      <c r="C28" s="4"/>
    </row>
    <row r="29" spans="1:12" x14ac:dyDescent="0.15">
      <c r="A29" s="4"/>
      <c r="B29" s="4"/>
      <c r="C29" s="4"/>
    </row>
    <row r="30" spans="1:12" x14ac:dyDescent="0.15">
      <c r="A30" s="4"/>
      <c r="B30" s="4"/>
      <c r="C30" s="4"/>
    </row>
    <row r="31" spans="1:12" x14ac:dyDescent="0.15">
      <c r="A31" s="4"/>
      <c r="B31" s="4"/>
      <c r="C31" s="4"/>
    </row>
    <row r="32" spans="1:12" x14ac:dyDescent="0.15">
      <c r="A32" s="4"/>
      <c r="B32" s="4"/>
      <c r="C32" s="4"/>
    </row>
    <row r="33" spans="1:3" x14ac:dyDescent="0.15">
      <c r="A33" s="4"/>
      <c r="B33" s="4"/>
      <c r="C33" s="4"/>
    </row>
    <row r="34" spans="1:3" x14ac:dyDescent="0.15">
      <c r="A34" s="4"/>
      <c r="B34" s="4"/>
      <c r="C34" s="4"/>
    </row>
    <row r="42" spans="1:3" x14ac:dyDescent="0.15">
      <c r="A42" s="1" t="s">
        <v>112</v>
      </c>
    </row>
    <row r="46" spans="1:3" x14ac:dyDescent="0.15">
      <c r="A46" s="4" t="s">
        <v>77</v>
      </c>
    </row>
    <row r="47" spans="1:3" x14ac:dyDescent="0.15">
      <c r="A47" s="72" t="s">
        <v>78</v>
      </c>
    </row>
    <row r="48" spans="1:3" x14ac:dyDescent="0.15">
      <c r="A48" s="4">
        <f>IF(B3 &gt; 0,IF(AND(((ABS(A3)&gt;ABS(E3))),(A3*E3&gt;0)),ABS(F7*A3),""),"")</f>
        <v>6.2824552652378864</v>
      </c>
    </row>
    <row r="49" spans="1:1" x14ac:dyDescent="0.15">
      <c r="A49" s="4">
        <f>IF(B3 &gt; 0,IF(AND(((ABS(A3)&gt;ABS(E3))),(A3*E3&gt;0)),ABS(A3*(1-F7)),""),"")</f>
        <v>2.7275447347621133</v>
      </c>
    </row>
  </sheetData>
  <customSheetViews>
    <customSheetView guid="{0EA9B495-FD28-404D-B849-E5531D863006}" topLeftCell="A7">
      <selection activeCell="F7" sqref="F7"/>
      <pageMargins left="0.7" right="0.7" top="0.75" bottom="0.75" header="0.3" footer="0.3"/>
      <pageSetup orientation="portrait" r:id="rId1"/>
    </customSheetView>
  </customSheetViews>
  <mergeCells count="2">
    <mergeCell ref="I20:J20"/>
    <mergeCell ref="A1:G1"/>
  </mergeCells>
  <conditionalFormatting sqref="B9:B12">
    <cfRule type="expression" dxfId="50" priority="1">
      <formula>$C$9</formula>
    </cfRule>
  </conditionalFormatting>
  <conditionalFormatting sqref="G2:G3">
    <cfRule type="expression" dxfId="49" priority="6">
      <formula>NOT($G$13)</formula>
    </cfRule>
  </conditionalFormatting>
  <conditionalFormatting sqref="G4:G5">
    <cfRule type="expression" dxfId="48" priority="7">
      <formula>NOT($G$14)</formula>
    </cfRule>
  </conditionalFormatting>
  <conditionalFormatting sqref="G6:G7">
    <cfRule type="expression" dxfId="47" priority="8">
      <formula>NOT($G$15)</formula>
    </cfRule>
  </conditionalFormatting>
  <conditionalFormatting sqref="J2:J3">
    <cfRule type="expression" dxfId="46" priority="5">
      <formula>NOT($J$13)</formula>
    </cfRule>
  </conditionalFormatting>
  <hyperlinks>
    <hyperlink ref="A13" r:id="rId2" display="Quantifying Discourse about Causal Inferences from Randomized Experiments and Observational Studies in Educational Research" xr:uid="{00000000-0004-0000-0100-000000000000}"/>
    <hyperlink ref="F15" r:id="rId3" location="causal" xr:uid="{00000000-0004-0000-0100-000001000000}"/>
  </hyperlinks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C5C4-2C4D-4CA3-BCA8-928027D0148B}">
  <dimension ref="A1:M12"/>
  <sheetViews>
    <sheetView workbookViewId="0">
      <selection activeCell="D14" sqref="D14"/>
    </sheetView>
  </sheetViews>
  <sheetFormatPr baseColWidth="10" defaultColWidth="8.83203125" defaultRowHeight="13" x14ac:dyDescent="0.15"/>
  <cols>
    <col min="5" max="5" width="18.5" customWidth="1"/>
    <col min="6" max="6" width="16.5" customWidth="1"/>
    <col min="7" max="7" width="19.5" customWidth="1"/>
    <col min="8" max="8" width="11.5" customWidth="1"/>
    <col min="10" max="10" width="16.6640625" customWidth="1"/>
  </cols>
  <sheetData>
    <row r="1" spans="1:13" x14ac:dyDescent="0.15">
      <c r="A1" s="1" t="s">
        <v>265</v>
      </c>
    </row>
    <row r="2" spans="1:13" x14ac:dyDescent="0.15">
      <c r="A2" s="1" t="s">
        <v>250</v>
      </c>
      <c r="B2" s="1" t="s">
        <v>249</v>
      </c>
      <c r="C2" s="1" t="s">
        <v>260</v>
      </c>
      <c r="D2" s="1" t="s">
        <v>261</v>
      </c>
      <c r="E2" s="1" t="s">
        <v>259</v>
      </c>
      <c r="F2" s="1" t="s">
        <v>262</v>
      </c>
      <c r="G2" s="1" t="s">
        <v>263</v>
      </c>
      <c r="H2" s="1" t="s">
        <v>268</v>
      </c>
      <c r="I2" s="1" t="s">
        <v>224</v>
      </c>
      <c r="J2" s="1" t="s">
        <v>266</v>
      </c>
      <c r="K2" s="1" t="s">
        <v>270</v>
      </c>
      <c r="L2" s="1" t="s">
        <v>272</v>
      </c>
      <c r="M2" s="1" t="s">
        <v>119</v>
      </c>
    </row>
    <row r="3" spans="1:13" x14ac:dyDescent="0.15">
      <c r="A3" s="381">
        <f>Basics!H4</f>
        <v>0.217</v>
      </c>
      <c r="B3" s="381">
        <f>Basics!G4</f>
        <v>0.99099999999999999</v>
      </c>
      <c r="C3">
        <f>'correlation based'!B27</f>
        <v>0.99557762747174083</v>
      </c>
      <c r="D3">
        <f>'correlation based'!C27</f>
        <v>0.23326617498314228</v>
      </c>
      <c r="E3" s="381">
        <f>Basics!I4</f>
        <v>0.251</v>
      </c>
      <c r="F3">
        <f>A3*SQRT(1-C3)</f>
        <v>1.4430699913143365E-2</v>
      </c>
      <c r="G3">
        <f>B3*SQRT(1-D3)</f>
        <v>0.86775268458609833</v>
      </c>
      <c r="H3">
        <f>ABS('correlation based'!C21)</f>
        <v>0.15208237916975162</v>
      </c>
      <c r="I3" s="346">
        <f>Basics!J4</f>
        <v>0</v>
      </c>
      <c r="J3">
        <f>I3*F3/G3</f>
        <v>0</v>
      </c>
      <c r="K3" s="346">
        <v>0.61</v>
      </c>
      <c r="L3">
        <f>(K3-D3)/(1-D3)</f>
        <v>0.49134890456746799</v>
      </c>
      <c r="M3" s="381">
        <f>Basics!A4</f>
        <v>-9.01</v>
      </c>
    </row>
    <row r="5" spans="1:13" x14ac:dyDescent="0.15">
      <c r="A5" s="1" t="s">
        <v>269</v>
      </c>
      <c r="B5" s="1" t="s">
        <v>267</v>
      </c>
      <c r="C5" s="1" t="s">
        <v>271</v>
      </c>
      <c r="D5" s="1" t="s">
        <v>273</v>
      </c>
      <c r="E5" s="1" t="s">
        <v>274</v>
      </c>
      <c r="F5" s="1" t="s">
        <v>214</v>
      </c>
      <c r="H5" s="1" t="s">
        <v>275</v>
      </c>
      <c r="I5" s="1" t="s">
        <v>276</v>
      </c>
    </row>
    <row r="6" spans="1:13" x14ac:dyDescent="0.15">
      <c r="A6">
        <f>(H3-J3)/SQRT(J3^2-2*H3*J3+L3)</f>
        <v>0.21696211305094254</v>
      </c>
      <c r="B6">
        <f>SQRT(1-C3)*A6</f>
        <v>1.4428180396127362E-2</v>
      </c>
      <c r="C6">
        <f>H3*A6+SQRT((L3-H3^2)*(1-A6^2))</f>
        <v>0.70096284107466633</v>
      </c>
      <c r="D6">
        <f>SQRT(1-D3)*C6</f>
        <v>0.61378646532557046</v>
      </c>
      <c r="E6">
        <f>B6/SQRT(C3)</f>
        <v>1.4460189998438339E-2</v>
      </c>
      <c r="F6">
        <f>(A3/B3)*M3*(1-C3)+SQRT(D3*C3)</f>
        <v>0.47318222175245556</v>
      </c>
      <c r="G6" s="1" t="s">
        <v>281</v>
      </c>
      <c r="H6">
        <f>(B3/A3)*F6</f>
        <v>2.1609381647773431</v>
      </c>
      <c r="I6">
        <f>((M3-I3)/(H6-M3))*((E3-F6^2)/(K3-E3))</f>
        <v>-6.0881775436735952E-2</v>
      </c>
    </row>
    <row r="7" spans="1:13" x14ac:dyDescent="0.15">
      <c r="G7" s="1" t="s">
        <v>282</v>
      </c>
      <c r="H7" s="346">
        <v>0.188</v>
      </c>
      <c r="I7">
        <f>((M3-I3)/(H7-M3))*((E3-F6^2)/(K3-E3))</f>
        <v>-7.3940698930815105E-2</v>
      </c>
    </row>
    <row r="9" spans="1:13" x14ac:dyDescent="0.15">
      <c r="A9" s="382" t="s">
        <v>279</v>
      </c>
      <c r="B9" s="381"/>
    </row>
    <row r="10" spans="1:13" x14ac:dyDescent="0.15">
      <c r="A10" s="383" t="s">
        <v>280</v>
      </c>
      <c r="B10" s="346"/>
    </row>
    <row r="12" spans="1:13" x14ac:dyDescent="0.15">
      <c r="A12" s="279" t="s">
        <v>283</v>
      </c>
    </row>
  </sheetData>
  <hyperlinks>
    <hyperlink ref="A12" r:id="rId1" xr:uid="{8541BD93-C9D5-46C9-BCAB-F6D6A77B906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R71"/>
  <sheetViews>
    <sheetView topLeftCell="A4" zoomScale="80" zoomScaleNormal="80" workbookViewId="0">
      <selection activeCell="B12" sqref="B12"/>
    </sheetView>
  </sheetViews>
  <sheetFormatPr baseColWidth="10" defaultColWidth="9.1640625" defaultRowHeight="13" x14ac:dyDescent="0.15"/>
  <cols>
    <col min="1" max="1" width="14.1640625" style="5" customWidth="1"/>
    <col min="2" max="2" width="15.5" style="256" customWidth="1"/>
    <col min="3" max="3" width="13.83203125" style="5" customWidth="1"/>
    <col min="4" max="4" width="14.83203125" style="5" customWidth="1"/>
    <col min="5" max="5" width="25.5" style="5" customWidth="1"/>
    <col min="6" max="6" width="38.5" style="5" customWidth="1"/>
    <col min="7" max="7" width="10.5" style="5" customWidth="1"/>
    <col min="8" max="8" width="19.1640625" style="5" customWidth="1"/>
    <col min="9" max="9" width="12.1640625" style="5" customWidth="1"/>
    <col min="10" max="10" width="8.83203125" style="5" customWidth="1"/>
    <col min="11" max="11" width="14.5" style="5" customWidth="1"/>
    <col min="12" max="12" width="16.83203125" style="5" customWidth="1"/>
    <col min="13" max="13" width="20.33203125" style="5" customWidth="1"/>
    <col min="14" max="14" width="30.5" style="5" customWidth="1"/>
    <col min="15" max="15" width="12.5" style="5" customWidth="1"/>
    <col min="16" max="16" width="10.6640625" style="5" customWidth="1"/>
    <col min="17" max="16384" width="9.1640625" style="5"/>
  </cols>
  <sheetData>
    <row r="1" spans="1:18" ht="28" thickBot="1" x14ac:dyDescent="0.3">
      <c r="A1" s="3">
        <f>IF(AND(D6&gt;0,E6&gt;3),IF(AND(ABS(C12) &gt; ABS(A12), C12*A12 &gt; 0),-1,1),"")</f>
        <v>-1</v>
      </c>
      <c r="B1" s="421" t="s">
        <v>162</v>
      </c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</row>
    <row r="2" spans="1:18" ht="19" thickBot="1" x14ac:dyDescent="0.25">
      <c r="A2" s="36" t="s">
        <v>5</v>
      </c>
      <c r="B2" s="235"/>
      <c r="C2" s="37"/>
      <c r="D2" s="38" t="s">
        <v>72</v>
      </c>
      <c r="E2" s="38"/>
      <c r="F2" s="39" t="s">
        <v>67</v>
      </c>
      <c r="G2" s="39"/>
      <c r="H2" s="39"/>
      <c r="I2" s="40" t="s">
        <v>65</v>
      </c>
      <c r="J2" s="41"/>
      <c r="K2" s="41"/>
      <c r="L2" s="42" t="s">
        <v>68</v>
      </c>
      <c r="M2" s="6">
        <v>1.0000000000000001E-5</v>
      </c>
      <c r="N2" s="59" t="s">
        <v>103</v>
      </c>
      <c r="P2" s="49"/>
      <c r="Q2" s="49"/>
    </row>
    <row r="3" spans="1:18" ht="18" x14ac:dyDescent="0.2">
      <c r="A3" s="52" t="s">
        <v>92</v>
      </c>
      <c r="B3" s="236"/>
      <c r="C3" s="53"/>
      <c r="D3" s="43"/>
      <c r="E3" s="43"/>
      <c r="F3" s="43"/>
      <c r="G3" s="43"/>
      <c r="H3" s="43"/>
      <c r="I3" s="1"/>
      <c r="J3"/>
      <c r="K3"/>
      <c r="L3" t="str">
        <f>IF(M3,"NOT VERIFIED","")</f>
        <v/>
      </c>
      <c r="M3" s="74" t="str">
        <f>IF(OR(E17="FALSE",J17="FALSE",M17="FALSE",E32="FALSE",J32="FALSE",M32="FALSE"),"TRUE","FALSE")</f>
        <v>FALSE</v>
      </c>
      <c r="N3" s="56" t="s">
        <v>95</v>
      </c>
      <c r="P3" s="49"/>
      <c r="Q3" s="49"/>
    </row>
    <row r="4" spans="1:18" ht="23" x14ac:dyDescent="0.25">
      <c r="A4" s="412" t="s">
        <v>62</v>
      </c>
      <c r="B4" s="413"/>
      <c r="C4" s="413"/>
      <c r="D4" s="413"/>
      <c r="E4" s="414"/>
      <c r="F4" s="30" t="s">
        <v>104</v>
      </c>
      <c r="G4" s="2"/>
      <c r="H4" s="2"/>
      <c r="I4" s="2"/>
      <c r="J4" s="31"/>
      <c r="K4"/>
      <c r="L4"/>
      <c r="N4" s="7" t="s">
        <v>93</v>
      </c>
      <c r="O4" s="61"/>
      <c r="P4" s="49" t="b">
        <v>1</v>
      </c>
      <c r="Q4" s="49"/>
    </row>
    <row r="5" spans="1:18" ht="19" thickBot="1" x14ac:dyDescent="0.25">
      <c r="A5" s="66" t="s">
        <v>48</v>
      </c>
      <c r="B5" s="237" t="s">
        <v>1</v>
      </c>
      <c r="C5" s="66" t="s">
        <v>45</v>
      </c>
      <c r="D5" s="66" t="s">
        <v>46</v>
      </c>
      <c r="E5" s="170" t="s">
        <v>6</v>
      </c>
      <c r="F5" s="88" t="s">
        <v>34</v>
      </c>
      <c r="G5" s="66" t="str">
        <f>"std("&amp;A6&amp;")"</f>
        <v>std(0)</v>
      </c>
      <c r="H5" s="170" t="s">
        <v>126</v>
      </c>
      <c r="I5" s="170" t="s">
        <v>47</v>
      </c>
      <c r="J5" s="32"/>
      <c r="K5" s="32"/>
      <c r="L5" s="32"/>
      <c r="M5" s="7"/>
      <c r="N5" s="7" t="s">
        <v>94</v>
      </c>
      <c r="O5" s="62"/>
      <c r="P5" s="49" t="b">
        <v>1</v>
      </c>
      <c r="Q5" s="49" t="b">
        <f>OR(P5,P6:P10)</f>
        <v>1</v>
      </c>
    </row>
    <row r="6" spans="1:18" ht="17" thickBot="1" x14ac:dyDescent="0.25">
      <c r="A6" s="230">
        <f>Basics!E7</f>
        <v>0</v>
      </c>
      <c r="B6" s="238">
        <f>Basics!C8</f>
        <v>-1.9602839214158896</v>
      </c>
      <c r="C6" s="190">
        <f>Basics!A4</f>
        <v>-9.01</v>
      </c>
      <c r="D6" s="190">
        <f>Basics!B4</f>
        <v>0.68</v>
      </c>
      <c r="E6" s="191">
        <f>Basics!C4</f>
        <v>7639</v>
      </c>
      <c r="F6" s="190">
        <f>Basics!G4</f>
        <v>0.99099999999999999</v>
      </c>
      <c r="G6" s="190">
        <f>Basics!H4</f>
        <v>0.217</v>
      </c>
      <c r="H6" s="190">
        <f>Basics!I4</f>
        <v>0.251</v>
      </c>
      <c r="I6" s="190">
        <f>Basics!D4</f>
        <v>221</v>
      </c>
      <c r="J6" s="8"/>
      <c r="K6" s="7"/>
      <c r="N6" s="7" t="s">
        <v>105</v>
      </c>
      <c r="O6" s="62"/>
      <c r="P6" s="49" t="b">
        <v>1</v>
      </c>
      <c r="Q6" s="49"/>
    </row>
    <row r="7" spans="1:18" ht="19" thickBot="1" x14ac:dyDescent="0.25">
      <c r="A7" s="107"/>
      <c r="B7" s="239"/>
      <c r="C7" s="107" t="s">
        <v>75</v>
      </c>
      <c r="D7" s="107"/>
      <c r="E7" s="192"/>
      <c r="F7" s="107" t="str">
        <f>IF(F28&lt;0,"R2 incompatible with std(y) and std(x),  assuming rx,z=0","")</f>
        <v/>
      </c>
      <c r="G7" s="107"/>
      <c r="H7" s="84"/>
      <c r="I7" s="84"/>
      <c r="J7" s="8"/>
      <c r="K7" s="7"/>
      <c r="N7" s="56" t="s">
        <v>96</v>
      </c>
      <c r="O7" s="62"/>
      <c r="P7" s="49"/>
      <c r="Q7" s="49"/>
    </row>
    <row r="8" spans="1:18" ht="17" thickBot="1" x14ac:dyDescent="0.25">
      <c r="A8" s="107"/>
      <c r="B8" s="239"/>
      <c r="C8" s="190">
        <f>Basics!F4</f>
        <v>0</v>
      </c>
      <c r="D8" s="107"/>
      <c r="E8" s="192"/>
      <c r="F8" s="107"/>
      <c r="G8" s="107"/>
      <c r="H8" s="193">
        <f>IF(AND(OR(P4,P18),ABS(D6) &gt;0,E6&gt;3),(1-F12^2)*F6^2,"")</f>
        <v>0.85401435458610475</v>
      </c>
      <c r="I8" s="193">
        <f>IF(AND(OR(P4,P18),ABS(D6) &gt;0,E6&gt;3),(1-E12^2)*G6^2,"")</f>
        <v>4.0948436985447319E-2</v>
      </c>
      <c r="J8" s="8"/>
      <c r="K8" s="7"/>
      <c r="N8" s="7" t="s">
        <v>78</v>
      </c>
      <c r="O8" s="62"/>
      <c r="P8" s="49"/>
      <c r="Q8" s="49"/>
    </row>
    <row r="9" spans="1:18" ht="23" x14ac:dyDescent="0.25">
      <c r="A9" s="33" t="str">
        <f>IF(AND(A1=1,D6&gt;0),"Estimate does not exceed threshold of the same sign, using suppression calculations: ITSV=(r-r#)/(1+|r#|)","")</f>
        <v/>
      </c>
      <c r="B9" s="240"/>
      <c r="C9" s="33"/>
      <c r="D9" s="33"/>
      <c r="E9" s="34"/>
      <c r="F9" s="33"/>
      <c r="G9" s="33"/>
      <c r="H9" s="47"/>
      <c r="I9" s="47"/>
      <c r="J9" s="33"/>
      <c r="K9" s="33"/>
      <c r="L9" s="33"/>
      <c r="M9" s="9"/>
      <c r="N9" s="55" t="s">
        <v>97</v>
      </c>
      <c r="O9" s="63"/>
      <c r="P9" s="57" t="b">
        <v>1</v>
      </c>
      <c r="Q9" s="58"/>
      <c r="R9" s="10"/>
    </row>
    <row r="10" spans="1:18" ht="17" thickBot="1" x14ac:dyDescent="0.25">
      <c r="A10" s="11" t="s">
        <v>66</v>
      </c>
      <c r="B10" s="241"/>
      <c r="C10" s="97"/>
      <c r="D10" s="415" t="str">
        <f>IF(A1=1,"Suppression (Internal Validity)","Confound (Internal Validity)")</f>
        <v>Confound (Internal Validity)</v>
      </c>
      <c r="E10" s="416"/>
      <c r="F10" s="417"/>
      <c r="G10" s="88"/>
      <c r="H10" s="403" t="str">
        <f>IF(OR(P9,P12),"Sample Bias (External Validity)","")</f>
        <v>Sample Bias (External Validity)</v>
      </c>
      <c r="I10" s="403"/>
      <c r="J10" s="403"/>
      <c r="K10" s="403" t="str">
        <f>IF(P15," replacement % (instead of 50%)","")</f>
        <v/>
      </c>
      <c r="L10" s="403"/>
      <c r="M10" s="66"/>
      <c r="N10" s="7" t="s">
        <v>98</v>
      </c>
      <c r="O10" s="62"/>
      <c r="P10" s="49" t="b">
        <v>1</v>
      </c>
      <c r="Q10" s="49"/>
    </row>
    <row r="11" spans="1:18" ht="27" thickTop="1" thickBot="1" x14ac:dyDescent="0.3">
      <c r="A11" s="84" t="s">
        <v>120</v>
      </c>
      <c r="B11" s="242" t="s">
        <v>2</v>
      </c>
      <c r="C11" s="84" t="str">
        <f>"r ("&amp;A6&amp;",y)"</f>
        <v>r (0,y)</v>
      </c>
      <c r="D11" s="216" t="str">
        <f>IF(AND(A1=1,D6&gt;0,E6&gt;3),"ITSV","ITCV")</f>
        <v>ITCV</v>
      </c>
      <c r="E11" s="217" t="str">
        <f>IF(A1=1,"r("&amp;A6&amp;",sv)","r("&amp;A6&amp;",cv)")</f>
        <v>r(0,cv)</v>
      </c>
      <c r="F11" s="218" t="str">
        <f>IF(A1=1,"r(y,sv)","r(y,cv)")</f>
        <v>r(y,cv)</v>
      </c>
      <c r="G11" s="418" t="str">
        <f>IF(P9,IF((A1=1),"Multiplier to exceed threshold","% bias to invalidate"),"")</f>
        <v>% bias to invalidate</v>
      </c>
      <c r="H11" s="418"/>
      <c r="I11" s="85" t="str">
        <f>IF(P12,IF(A1=1,"","replacement correlation"),"")</f>
        <v>replacement correlation</v>
      </c>
      <c r="J11" s="66"/>
      <c r="K11" s="86" t="str">
        <f>IF(P15,"%","")</f>
        <v/>
      </c>
      <c r="L11" s="66" t="str">
        <f>IF(P15,"replacement correlation","")</f>
        <v/>
      </c>
      <c r="M11" s="66"/>
      <c r="N11" s="7" t="s">
        <v>4</v>
      </c>
      <c r="O11" s="62"/>
      <c r="P11" s="49"/>
      <c r="Q11" s="49"/>
    </row>
    <row r="12" spans="1:18" ht="26" thickBot="1" x14ac:dyDescent="0.3">
      <c r="A12" s="243">
        <f>IF(E6 &gt;0,B6/SQRT(B6^2+E6-3),"")</f>
        <v>-2.2427288460818678E-2</v>
      </c>
      <c r="B12" s="243">
        <f>IF(AND(ABS(D6) &gt;0,E6&gt;3),(C6-C8)/D6,"")</f>
        <v>-13.249999999999998</v>
      </c>
      <c r="C12" s="262">
        <f>IF(AND(E6 &gt; 3,D6&gt;0),B12/SQRT(E6-2+B12^2),0)</f>
        <v>-0.14990603798859534</v>
      </c>
      <c r="D12" s="263">
        <f>IF(AND(ABS(D6) &gt;0,E6&gt;3,OR(P4,P18)),(C12-A12)/(1+A1*ABS(A12)),"")</f>
        <v>-0.13040334291559988</v>
      </c>
      <c r="E12" s="264">
        <f>IF(AND(D6&gt;0,E6&gt;3,OR(P4,P18)),IF(ABS(F12)&gt;0,D12/F12,0),"")</f>
        <v>-0.36111403034997114</v>
      </c>
      <c r="F12" s="265">
        <f>IF(AND(D6&gt;0,E6&gt;3,OR(P4,P18)),SQRT(ABS(D12)),"")</f>
        <v>0.36111403034997114</v>
      </c>
      <c r="G12" s="89">
        <f>+(1/(E6-3))+(1/(E6-3))</f>
        <v>2.6191723415400735E-4</v>
      </c>
      <c r="H12" s="266">
        <f>IF(P9,IF(D6&gt;0,IF(A1=1,IF(ABS(C12)&gt;0,A12/C12,""),IF(ABS(C12)&gt;0,1-(A12/C12),"")),""),"")</f>
        <v>0.85039102652739762</v>
      </c>
      <c r="I12" s="408">
        <f>IF(P12,IF(A1=-1,2*A12-C12,""),"")</f>
        <v>0.10505146106695798</v>
      </c>
      <c r="J12" s="409"/>
      <c r="K12" s="87" t="str">
        <f>IF(P15,0.8,"")</f>
        <v/>
      </c>
      <c r="L12" s="98" t="str">
        <f>IF(P15,IF(AND(D6&gt;0,E6&gt;3),(A12+(K12-1)*C12)/K12,""),"")</f>
        <v/>
      </c>
      <c r="M12" s="99"/>
      <c r="N12" s="7" t="s">
        <v>97</v>
      </c>
      <c r="O12" s="62"/>
      <c r="P12" s="49" t="b">
        <v>1</v>
      </c>
      <c r="Q12" s="49"/>
    </row>
    <row r="13" spans="1:18" ht="17" thickTop="1" x14ac:dyDescent="0.2">
      <c r="A13" s="88"/>
      <c r="B13" s="237"/>
      <c r="C13" s="89">
        <f>IF(D6&gt;0,(LN(C12+1)-LN(1-C12))/2,"")</f>
        <v>-0.15104431250229658</v>
      </c>
      <c r="D13" s="90"/>
      <c r="E13" s="89"/>
      <c r="F13" s="66"/>
      <c r="G13" s="91" t="str">
        <f>IF(AND(E6&gt;0,P18),"regression","")</f>
        <v>regression</v>
      </c>
      <c r="H13" s="92">
        <f>IF(P12,IF(A1=-1,+(LN(I12+1)-LN(1-I12))/2,""),"")</f>
        <v>0.10544048287292458</v>
      </c>
      <c r="I13" s="93" t="str">
        <f>IF(P12,IF(D6&gt;0,IF(A1=-1,IF(H17&gt;B6,"statistically different from r(x,y)","not statistically different from r(x,y)"),""),""),"")</f>
        <v>not statistically different from r(x,y)</v>
      </c>
      <c r="J13" s="94"/>
      <c r="K13" s="95"/>
      <c r="L13" s="85" t="str">
        <f>IF(P15,IF(AND(D6&gt;0,E6&gt;3),IF(K17&gt;B6," statistically different from r(x,y)"," not statistically different from r(x,y)"),""),"")</f>
        <v/>
      </c>
      <c r="M13" s="94"/>
      <c r="N13" s="7" t="s">
        <v>98</v>
      </c>
      <c r="O13" s="62"/>
      <c r="P13" s="49" t="b">
        <v>1</v>
      </c>
      <c r="Q13" s="49"/>
    </row>
    <row r="14" spans="1:18" ht="20" x14ac:dyDescent="0.2">
      <c r="A14" s="229" t="str">
        <f>IF(AND(D6&gt;0,E6&gt;3,P4,ABS(C6)&gt;0),IF(A1=-1,"The minimum impact to invalidate an inference for a null hypothesis of 0 effect is " &amp;TEXT(D12,".###")&amp; " based on correlations","The maximum impact to sustain an inference for a null hypothesis of 0 effect is based on correlations"))</f>
        <v>The minimum impact to invalidate an inference for a null hypothesis of 0 effect is -.13 based on correlations</v>
      </c>
      <c r="B14" s="244"/>
      <c r="C14" s="35"/>
      <c r="D14" s="101"/>
      <c r="E14" s="35"/>
      <c r="F14" s="101"/>
      <c r="G14" s="102" t="str">
        <f>IF(AND(E6&gt;0,P18),"coeff(x)","")</f>
        <v>coeff(x)</v>
      </c>
      <c r="H14" s="103">
        <f>IF(AND(P18,ABS(D6) &gt;0,E6&gt;3,F6&gt;0,G6&gt;0),A12*SQRT(H8/I8),"")</f>
        <v>-0.10242139568972954</v>
      </c>
      <c r="I14" s="104">
        <f>2*A12-C12</f>
        <v>0.10505146106695798</v>
      </c>
      <c r="J14" s="105"/>
      <c r="K14" s="106">
        <f>IF(AND(D6&gt;0,E6&gt;3),IF(ABS(L12 &lt; 1.001),(LN(L12+1)-LN(1-L12))/2,0))</f>
        <v>0</v>
      </c>
      <c r="L14" s="107"/>
      <c r="M14" s="107"/>
      <c r="N14" s="7" t="s">
        <v>99</v>
      </c>
      <c r="O14" s="62"/>
      <c r="P14" s="49"/>
      <c r="Q14" s="49"/>
    </row>
    <row r="15" spans="1:18" ht="20" x14ac:dyDescent="0.2">
      <c r="A15" s="229" t="str">
        <f>IF(AND(D6&gt;0,E6&gt;3,P4,ABS(C6)&gt;0),"of "&amp;TEXT(E12,"#.###")&amp; " with " &amp;A6&amp; " and of "&amp;TEXT(F12,"#.###")&amp;" with the outcome (assuming no covariates)","")</f>
        <v>of -.361 with 0 and of .361 with the outcome (assuming no covariates)</v>
      </c>
      <c r="B15" s="244"/>
      <c r="C15" s="35"/>
      <c r="D15" s="101"/>
      <c r="E15" s="35"/>
      <c r="F15" s="101"/>
      <c r="G15" s="102" t="str">
        <f>IF(AND(P18,E6&gt;0),"stderr","")</f>
        <v>stderr</v>
      </c>
      <c r="H15" s="103">
        <f>IF(AND(P18,ABS(D6) &gt;0,E6&gt;3,F6&gt;0,G6&gt;0),H14/B6,"")</f>
        <v>5.2248245558098434E-2</v>
      </c>
      <c r="I15" s="104"/>
      <c r="J15" s="105"/>
      <c r="K15" s="108"/>
      <c r="L15" s="107"/>
      <c r="M15" s="107"/>
      <c r="N15" s="7" t="s">
        <v>97</v>
      </c>
      <c r="O15" s="62"/>
      <c r="P15" s="49" t="b">
        <v>0</v>
      </c>
      <c r="Q15" s="49"/>
    </row>
    <row r="16" spans="1:18" ht="16" x14ac:dyDescent="0.2">
      <c r="A16" s="100" t="str">
        <f>IF(P4,IF(D12&lt;0,"(signs are interchangeable)",""),"")</f>
        <v>(signs are interchangeable)</v>
      </c>
      <c r="B16" s="244"/>
      <c r="C16" s="35"/>
      <c r="D16" s="101"/>
      <c r="E16" s="35"/>
      <c r="F16" s="101"/>
      <c r="G16" s="109"/>
      <c r="H16" s="35"/>
      <c r="I16" s="104"/>
      <c r="J16" s="107"/>
      <c r="K16" s="108"/>
      <c r="L16" s="107">
        <f>(0.119-0.023)/(1-0.023)</f>
        <v>9.825997952917094E-2</v>
      </c>
      <c r="M16" s="107"/>
      <c r="N16" s="7" t="s">
        <v>98</v>
      </c>
      <c r="O16" s="62"/>
      <c r="P16" s="49" t="b">
        <v>0</v>
      </c>
      <c r="Q16" s="49"/>
    </row>
    <row r="17" spans="1:17" ht="18" x14ac:dyDescent="0.2">
      <c r="A17" s="110" t="str">
        <f>IF(AND(D6&gt;0,E6&gt;3,P4),"verification: compare with cell A12","")</f>
        <v>verification: compare with cell A12</v>
      </c>
      <c r="B17" s="237"/>
      <c r="C17" s="111"/>
      <c r="D17" s="111">
        <f>IF(AND(P4,D6&gt;0,E6&gt;3),((C12-D12)/SQRT((1-E12^2)*(1-F12^2))),"")</f>
        <v>-2.2427288460818672E-2</v>
      </c>
      <c r="E17" s="89" t="str">
        <f>IF(AND(P4,D6&gt;0,E6&gt;3),IF(ABS(D17-A12)&lt;M2,"TRUE","FALSE"),"")</f>
        <v>TRUE</v>
      </c>
      <c r="F17" s="111"/>
      <c r="G17" s="111"/>
      <c r="H17" s="89">
        <f>IF(P12,IF(A1=-1,(C13-H13)/SQRT(G12),""),"")</f>
        <v>-15.848186996864927</v>
      </c>
      <c r="I17" s="111">
        <f>IF(P12,IF(A1=-1,(C12+I12)/2,""),"")</f>
        <v>-2.2427288460818678E-2</v>
      </c>
      <c r="J17" s="89" t="str">
        <f>IF(P12,IF(A1=-1,IF(ABS(I17-A12)&lt;I2,"TRUE","FALSE"),""),"")</f>
        <v>TRUE</v>
      </c>
      <c r="K17" s="89">
        <f>IF(A1=-1,(C13-K14)/SQRT(G12),"")</f>
        <v>-9.333023058335101</v>
      </c>
      <c r="L17" s="111" t="str">
        <f>IF(P15,IF(AND(D6&gt;0,E6&gt;3),K12*L12+(1-K12)*C12,""),"")</f>
        <v/>
      </c>
      <c r="M17" s="89" t="str">
        <f>IF(P15,IF(AND(D6&gt;0,E6&gt;3),IF(ABS(L17-A12)&lt;M2,"TRUE","FALSE"),""),"")</f>
        <v/>
      </c>
      <c r="N17" s="60" t="s">
        <v>101</v>
      </c>
      <c r="O17" s="64"/>
      <c r="P17" s="49"/>
      <c r="Q17" s="49"/>
    </row>
    <row r="18" spans="1:17" ht="17" thickBot="1" x14ac:dyDescent="0.25">
      <c r="A18" s="112"/>
      <c r="B18" s="245"/>
      <c r="C18" s="113"/>
      <c r="D18" s="114"/>
      <c r="E18" s="114"/>
      <c r="F18" s="114"/>
      <c r="G18" s="114"/>
      <c r="H18" s="114"/>
      <c r="I18" s="114"/>
      <c r="J18" s="114"/>
      <c r="K18" s="115"/>
      <c r="L18" s="111"/>
      <c r="M18" s="111"/>
      <c r="N18" s="14" t="s">
        <v>100</v>
      </c>
      <c r="O18" s="64"/>
      <c r="P18" s="49" t="b">
        <v>1</v>
      </c>
      <c r="Q18" s="49" t="b">
        <f>OR(P6,P18,P16,P13,P20)</f>
        <v>1</v>
      </c>
    </row>
    <row r="19" spans="1:17" ht="18" thickTop="1" thickBot="1" x14ac:dyDescent="0.25">
      <c r="A19" s="424" t="s">
        <v>61</v>
      </c>
      <c r="B19" s="425"/>
      <c r="C19" s="425"/>
      <c r="D19" s="426" t="str">
        <f>D10</f>
        <v>Confound (Internal Validity)</v>
      </c>
      <c r="E19" s="426"/>
      <c r="F19" s="427"/>
      <c r="G19" s="116"/>
      <c r="H19" s="428" t="str">
        <f>IF(OR(P10,P13),"Sample Bias (External Validity)","")</f>
        <v>Sample Bias (External Validity)</v>
      </c>
      <c r="I19" s="429"/>
      <c r="J19" s="429"/>
      <c r="K19" s="430" t="str">
        <f>IF(P16," replacement % (instead of 50%)","")</f>
        <v/>
      </c>
      <c r="L19" s="431"/>
      <c r="M19" s="117"/>
      <c r="N19" s="12"/>
      <c r="O19" s="64"/>
      <c r="P19" s="49"/>
      <c r="Q19" s="49"/>
    </row>
    <row r="20" spans="1:17" ht="27" thickTop="1" thickBot="1" x14ac:dyDescent="0.3">
      <c r="A20" s="118" t="s">
        <v>120</v>
      </c>
      <c r="B20" s="242" t="s">
        <v>2</v>
      </c>
      <c r="C20" s="118" t="s">
        <v>60</v>
      </c>
      <c r="D20" s="219" t="str">
        <f>IF(A1=1,"ITSV|z","ITCV|z")</f>
        <v>ITCV|z</v>
      </c>
      <c r="E20" s="220" t="str">
        <f>IF(A1=1,"r("&amp;A6&amp;",sv|z)","r("&amp;A6&amp;",cv|z)")</f>
        <v>r(0,cv|z)</v>
      </c>
      <c r="F20" s="221" t="str">
        <f>IF(A1=1,"r(y,sv|z)","r(y,cv|z)")</f>
        <v>r(y,cv|z)</v>
      </c>
      <c r="G20" s="419" t="str">
        <f>IF(P10,IF((A1=1),"Multiplier to exceed threshold","% bias to invalidate"),"")</f>
        <v>% bias to invalidate</v>
      </c>
      <c r="H20" s="420"/>
      <c r="I20" s="120" t="str">
        <f>IF(P13,IF(A1=1,"","replacement correlation"),"")</f>
        <v>replacement correlation</v>
      </c>
      <c r="J20" s="98"/>
      <c r="K20" s="121" t="str">
        <f>IF(P16,"%","")</f>
        <v/>
      </c>
      <c r="L20" s="422" t="str">
        <f>IF(P16,"replacement correlation","")</f>
        <v/>
      </c>
      <c r="M20" s="423"/>
      <c r="N20" s="14" t="s">
        <v>102</v>
      </c>
      <c r="O20" s="64"/>
      <c r="P20" s="49" t="b">
        <v>0</v>
      </c>
      <c r="Q20" s="49"/>
    </row>
    <row r="21" spans="1:17" ht="26" thickBot="1" x14ac:dyDescent="0.3">
      <c r="A21" s="246">
        <f>IF(AND(OR(Q5,P13,P16,Q18),E6&gt;0),B6/(SQRT(B6^2+E6-I6-3)),"")</f>
        <v>-2.275888052317121E-2</v>
      </c>
      <c r="B21" s="246">
        <f>IF(AND(OR(Q5,P13,P16,Q18),D6&gt;0,E6&gt;3),(C6-C8)/D6,"")</f>
        <v>-13.249999999999998</v>
      </c>
      <c r="C21" s="267">
        <f>IF(AND(OR(Q5,P13,P16,Q18),D6&gt;0,E6&gt;3),+B12/SQRT(E6-3-I6+B12^2),"")</f>
        <v>-0.15208237916975162</v>
      </c>
      <c r="D21" s="268">
        <f>IF(AND(D6&gt;0,E6&gt;3,OR(Q18,Q5)),(C21-A21)/(1+A1*ABS(A21)),"")</f>
        <v>-0.13233530197318594</v>
      </c>
      <c r="E21" s="264">
        <f>IF(AND(D6&gt;0,E6&gt;3,OR(Q5,Q18)),IF(F21 &gt;0,D21/F21,0),"")</f>
        <v>-0.36377919398061503</v>
      </c>
      <c r="F21" s="269">
        <f>IF(AND(D6&gt;0,E6&gt;3,OR(Q18,Q5)),SQRT(ABS(D21)),"")</f>
        <v>0.36377919398061503</v>
      </c>
      <c r="G21" s="270"/>
      <c r="H21" s="271">
        <f>IF(P10,IF(AND(D6&gt;0,E6&gt;3),IF(ABS(C21)&gt;0,IF(A1=1,A21/C21,1-(A21/C21)),0),""),"")</f>
        <v>0.8503516275362305</v>
      </c>
      <c r="I21" s="410">
        <f>IF(P13,IF(A1=-1,2*A21-C21,""),"")</f>
        <v>0.1065646181234092</v>
      </c>
      <c r="J21" s="411"/>
      <c r="K21" s="122" t="str">
        <f>IF(P16,0.8,"")</f>
        <v/>
      </c>
      <c r="L21" s="123" t="str">
        <f>IF(P16,IF(AND(D6&gt;0,E6&gt;3),(A21+(K21-1)*C21)/K21,""),"")</f>
        <v/>
      </c>
      <c r="M21" s="111"/>
      <c r="N21" s="12"/>
      <c r="O21" s="12"/>
      <c r="P21" s="49"/>
      <c r="Q21" s="49"/>
    </row>
    <row r="22" spans="1:17" ht="21" thickTop="1" x14ac:dyDescent="0.2">
      <c r="A22" s="231" t="str">
        <f>IF(AND(P5,D6&gt;0,E6&gt;3,ABS(C6)&gt;0),IF(A1=-1,"The minimum impact to invalidate an inference for a null hypothesis of 0 effect is " &amp;TEXT(D21,".###")&amp; " and is based on correlations","The maximum impact to sustain an inference for a null hypothesis of 0 effect is based on correlations"))</f>
        <v>The minimum impact to invalidate an inference for a null hypothesis of 0 effect is -.132 and is based on correlations</v>
      </c>
      <c r="B22" s="247"/>
      <c r="C22" s="124"/>
      <c r="D22" s="130"/>
      <c r="E22" s="130"/>
      <c r="F22" s="130"/>
      <c r="G22" s="107"/>
      <c r="H22" s="107"/>
      <c r="I22" s="125" t="str">
        <f>IF(P13,IF(P13,IF(A1=-1,IF(H27&gt;B6,"statistically different from r(x,y|z)","not statistically different from r(x,y|z)"),""),""),"")</f>
        <v>not statistically different from r(x,y|z)</v>
      </c>
      <c r="J22" s="126"/>
      <c r="K22" s="127"/>
      <c r="L22" s="120" t="str">
        <f>IF(AND(P16,D6&gt;0,E6&gt;3),IF(K27&gt;B6," statistically different from r(x,y|z)"," not statistically different from r(x,y|z)"),"")</f>
        <v/>
      </c>
      <c r="M22" s="128"/>
      <c r="N22" s="12"/>
      <c r="O22" s="12"/>
    </row>
    <row r="23" spans="1:17" ht="20" x14ac:dyDescent="0.2">
      <c r="A23" s="232" t="str">
        <f>IF(AND(P5,D6&gt;0,E6&gt;3,ABS(C6)&gt;0),"of "&amp;TEXT(E21,".###")&amp;" with " &amp;A6&amp; " and of " &amp;TEXT(F21,".###")&amp; " with the outcome, " &amp;O26&amp; " covariates.","")</f>
        <v>of -.364 with 0 and of .364 with the outcome, conditional on covariates.</v>
      </c>
      <c r="B23" s="248"/>
      <c r="C23" s="130"/>
      <c r="D23" s="130"/>
      <c r="E23" s="130"/>
      <c r="F23" s="130"/>
      <c r="G23" s="107"/>
      <c r="H23" s="107"/>
      <c r="I23" s="314">
        <f>2*A21-C21</f>
        <v>0.1065646181234092</v>
      </c>
      <c r="J23" s="119"/>
      <c r="K23" s="131"/>
      <c r="L23" s="118"/>
      <c r="M23" s="105"/>
      <c r="N23" s="12"/>
      <c r="O23" s="12"/>
    </row>
    <row r="24" spans="1:17" ht="16" x14ac:dyDescent="0.2">
      <c r="A24" s="129" t="str">
        <f>IF(D21&lt;0,"(signs are interchangeable)","")</f>
        <v>(signs are interchangeable)</v>
      </c>
      <c r="B24" s="248"/>
      <c r="C24" s="130"/>
      <c r="D24" s="130"/>
      <c r="E24" s="130"/>
      <c r="F24" s="66"/>
      <c r="G24" s="130"/>
      <c r="H24" s="119"/>
      <c r="I24" s="132"/>
      <c r="J24" s="132"/>
      <c r="K24" s="118"/>
      <c r="L24" s="118"/>
      <c r="M24" s="105"/>
      <c r="N24" s="12"/>
      <c r="O24" s="12"/>
    </row>
    <row r="25" spans="1:17" ht="16" x14ac:dyDescent="0.2">
      <c r="A25" s="65"/>
      <c r="B25" s="249"/>
      <c r="C25" s="130"/>
      <c r="D25" s="66" t="s">
        <v>106</v>
      </c>
      <c r="E25" s="130"/>
      <c r="F25" s="66"/>
      <c r="G25" s="130"/>
      <c r="H25" s="132"/>
      <c r="I25" s="132"/>
      <c r="J25" s="132"/>
      <c r="K25" s="118"/>
      <c r="L25" s="118"/>
      <c r="M25" s="105"/>
      <c r="N25" s="12"/>
      <c r="O25" s="12"/>
    </row>
    <row r="26" spans="1:17" ht="18" x14ac:dyDescent="0.2">
      <c r="A26" s="133" t="s">
        <v>121</v>
      </c>
      <c r="B26" s="250" t="s">
        <v>264</v>
      </c>
      <c r="C26" s="134" t="s">
        <v>122</v>
      </c>
      <c r="D26" s="135" t="str">
        <f>D11</f>
        <v>ITCV</v>
      </c>
      <c r="E26" s="135" t="str">
        <f t="shared" ref="E26:F26" si="0">E11</f>
        <v>r(0,cv)</v>
      </c>
      <c r="F26" s="135" t="str">
        <f t="shared" si="0"/>
        <v>r(y,cv)</v>
      </c>
      <c r="G26" s="111"/>
      <c r="H26" s="89">
        <f>IF(P13,IF(A1=-1,+(LN(I21+1)-LN(1-I21))/2,""),"")</f>
        <v>0.10697077234745218</v>
      </c>
      <c r="I26" s="136"/>
      <c r="J26" s="136"/>
      <c r="K26" s="108" t="str">
        <f>IF(AND(P16,D6&gt;0,E6&gt;3),(LN(L21+1)-LN(1-L21))/2,"")</f>
        <v/>
      </c>
      <c r="L26" s="105"/>
      <c r="M26" s="105"/>
      <c r="N26" s="12"/>
      <c r="O26" s="12" t="str">
        <f>IF(I6&gt;0,"conditional on","assuming no")</f>
        <v>conditional on</v>
      </c>
    </row>
    <row r="27" spans="1:17" ht="16" x14ac:dyDescent="0.2">
      <c r="A27" s="246">
        <v>0</v>
      </c>
      <c r="B27" s="251">
        <f>IF(Q18,IF(F32 &gt; 0,F32,0),"")</f>
        <v>0.99557762747174083</v>
      </c>
      <c r="C27" s="251">
        <f>IF(AND(Q18,D6&gt;0,I6&gt;0,H6&gt;C12^2),(C21^2-H6)/(C21^2-1),"")</f>
        <v>0.23326617498314228</v>
      </c>
      <c r="D27" s="272">
        <f>IF(AND(Q18,G6&gt;0,D6&gt;0,I6&gt;0,H6&gt;C12^2),E27*F27,"")</f>
        <v>-7.7059411133913154E-3</v>
      </c>
      <c r="E27" s="272">
        <f>IF(AND(Q18,G6&gt;0,D6&gt;0,H6&gt;C12^2),E21*SQRT((1-B27)*(1-A27))+SQRT(A27*B27),"")</f>
        <v>-2.4191651534467395E-2</v>
      </c>
      <c r="F27" s="273">
        <f>IF(AND(Q18,G6&gt;0,D6&gt;0,H6&gt;C12^2,I6&gt;0),F21*SQRT((1-C27)*(1-A27))+SQRT(A27*C27),"")</f>
        <v>0.3185372070365749</v>
      </c>
      <c r="G27" s="137">
        <f>+(1/(E6-3-I6))+(1/(E6-3-I6))</f>
        <v>2.6972353337828726E-4</v>
      </c>
      <c r="H27" s="89">
        <f>IF(P13,IF(A1=-1,(C28-H26)/SQRT(G27),""),"")</f>
        <v>-15.845950961493838</v>
      </c>
      <c r="I27" s="136"/>
      <c r="J27" s="136"/>
      <c r="K27" s="108" t="str">
        <f>IF(P16,IF(A1=-1,(C28-K26)/SQRT(G27),""),"")</f>
        <v/>
      </c>
      <c r="L27" s="105"/>
      <c r="M27" s="118" t="s">
        <v>115</v>
      </c>
      <c r="N27" s="14" t="s">
        <v>78</v>
      </c>
      <c r="O27" s="12"/>
    </row>
    <row r="28" spans="1:17" ht="16" x14ac:dyDescent="0.2">
      <c r="A28" s="111"/>
      <c r="B28" s="252"/>
      <c r="C28" s="139">
        <f>IF(AND(Q18,D6&gt;0,E6&gt;3),(LN(C21+1)-LN(1-C21))/2,"")</f>
        <v>-0.15327143128472792</v>
      </c>
      <c r="D28" s="114" t="str">
        <f>IF(AND(P6,D6&gt;0,E6&gt;3),IF(H6&lt;C12^2+M2,"FOR ROW 27, MULTIVARIATE R2 MUST BE GREATER THAN THE SQUARE OF r(X,Y) IN CELL C12",""),"")</f>
        <v/>
      </c>
      <c r="E28" s="138"/>
      <c r="F28" s="139"/>
      <c r="G28" s="66"/>
      <c r="H28" s="136"/>
      <c r="I28" s="136"/>
      <c r="J28" s="136"/>
      <c r="K28" s="105"/>
      <c r="L28" s="105"/>
      <c r="M28" s="118">
        <f>IF(A1=-1,ABS(A21),"")</f>
        <v>2.275888052317121E-2</v>
      </c>
      <c r="N28" s="12"/>
      <c r="O28" s="12"/>
    </row>
    <row r="29" spans="1:17" ht="20" x14ac:dyDescent="0.2">
      <c r="A29" s="276" t="str">
        <f>IF(AND(P6,G6&gt;0,D6&gt;0,H6&gt;C12^2,I6&gt;0),IF(A1=-1,"To invalidate the","To sustain an")&amp; " inference an omitted variable would have to be correlated","")</f>
        <v>To invalidate the inference an omitted variable would have to be correlated</v>
      </c>
      <c r="B29" s="253"/>
      <c r="C29" s="16"/>
      <c r="D29" s="15"/>
      <c r="E29"/>
      <c r="F29"/>
      <c r="G29" s="253"/>
      <c r="H29" s="44"/>
      <c r="I29" s="45"/>
      <c r="J29" s="45"/>
      <c r="K29" s="12"/>
      <c r="L29" s="14"/>
      <c r="M29" s="13">
        <f>IF(A1=-1,ABS(C21-A21),"")</f>
        <v>0.12932349864658041</v>
      </c>
      <c r="N29" s="12"/>
      <c r="O29" s="12"/>
    </row>
    <row r="30" spans="1:17" ht="20" x14ac:dyDescent="0.2">
      <c r="A30" s="276" t="str">
        <f>IF(AND(P6,G6&gt;0,D6&gt;0,H6&gt;C12^2,I6&gt;0),"at "&amp;TEXT(E27,".###")&amp;" with " &amp;A6&amp; " and at " &amp;TEXT(F27,".###")&amp; " with the outcome, before conditioning on covariates.","")</f>
        <v>at -.024 with 0 and at .319 with the outcome, before conditioning on covariates.</v>
      </c>
      <c r="B30" s="253"/>
      <c r="C30" s="16"/>
      <c r="D30" s="15"/>
      <c r="E30"/>
      <c r="F30"/>
      <c r="G30"/>
      <c r="H30" s="44"/>
      <c r="I30" s="45"/>
      <c r="J30" s="45"/>
      <c r="K30" s="12"/>
      <c r="L30" s="14"/>
      <c r="M30" s="12"/>
      <c r="N30" s="12"/>
      <c r="O30" s="12"/>
    </row>
    <row r="31" spans="1:17" ht="16" x14ac:dyDescent="0.2">
      <c r="A31" s="15" t="str">
        <f>IF(D27&lt;0,"(signs are interchangeable)","")</f>
        <v>(signs are interchangeable)</v>
      </c>
      <c r="B31" s="253"/>
      <c r="C31" s="16"/>
      <c r="D31" s="15"/>
      <c r="E31" s="15"/>
      <c r="F31" s="15"/>
      <c r="G31" s="16"/>
      <c r="H31" s="17"/>
      <c r="I31" s="14"/>
      <c r="J31" s="14"/>
      <c r="K31" s="12"/>
      <c r="L31" s="14"/>
      <c r="M31" s="12"/>
      <c r="N31" s="12"/>
      <c r="O31" s="12"/>
    </row>
    <row r="32" spans="1:17" ht="16" x14ac:dyDescent="0.2">
      <c r="A32" s="105" t="str">
        <f>IF(AND(P6,D6&gt;0,E6&gt;3),"verification: compare with cell A21","")</f>
        <v>verification: compare with cell A21</v>
      </c>
      <c r="B32" s="254"/>
      <c r="C32" s="194"/>
      <c r="D32" s="194">
        <f>IF(AND(P6,D6&gt;0,E6&gt;3),(C21-D21)/SQRT((1-E21^2)*(1-F21^2)),"")</f>
        <v>-2.2758880523171203E-2</v>
      </c>
      <c r="E32" s="89" t="str">
        <f>IF(AND(P6,D6&gt;0,E6&gt;3),IF(ABS(D32-A21)&lt;M2,"TRUE","FALSE"),"")</f>
        <v>TRUE</v>
      </c>
      <c r="F32" s="57">
        <f>IF(AND(D6 &gt;0,G6&gt;0,H6&gt;C12^2),1-(F6*SQRT(1-H6)/D6)^2/(G6^2*(E6)),"")</f>
        <v>0.99557762747174083</v>
      </c>
      <c r="G32" s="105"/>
      <c r="H32" s="105"/>
      <c r="I32" s="105">
        <f>IF(P13,IF(A1=-1,(C21+I21)/2,""),"")</f>
        <v>-2.275888052317121E-2</v>
      </c>
      <c r="J32" s="89" t="str">
        <f>IF(P13,IF(A1=-1,IF(ABS(I32-A21)&lt;M2,"TRUE","FALSE"),""),"")</f>
        <v>TRUE</v>
      </c>
      <c r="K32" s="105"/>
      <c r="L32" s="118" t="str">
        <f>IF(AND(P16,D6&gt;0,E6&gt;3),K21*L21+(1-K21)*C21,"")</f>
        <v/>
      </c>
      <c r="M32" s="89" t="str">
        <f>IF(AND(P16,D6&gt;0,E6&gt;3),IF(ABS(L32-A21)&lt;M2,"TRUE","FALSE"),"")</f>
        <v/>
      </c>
      <c r="N32" s="105"/>
      <c r="O32" s="12"/>
    </row>
    <row r="33" spans="1:15" ht="16" x14ac:dyDescent="0.2">
      <c r="A33" s="107"/>
      <c r="B33" s="254"/>
      <c r="C33" s="195"/>
      <c r="D33" s="196"/>
      <c r="E33" s="18"/>
      <c r="F33" s="196"/>
      <c r="G33" s="196"/>
      <c r="H33" s="197"/>
      <c r="I33" s="196"/>
      <c r="J33" s="19"/>
      <c r="K33" s="107"/>
      <c r="L33" s="198"/>
      <c r="M33" s="46"/>
      <c r="N33" s="198"/>
    </row>
    <row r="34" spans="1:15" ht="16" x14ac:dyDescent="0.2">
      <c r="A34" s="66" t="str">
        <f>IF(Q18,"recovered correlations","")</f>
        <v>recovered correlations</v>
      </c>
      <c r="B34" s="237"/>
      <c r="C34" s="66"/>
      <c r="D34" s="66"/>
      <c r="E34" s="66"/>
      <c r="F34" s="195"/>
      <c r="G34" s="66"/>
      <c r="H34" s="66" t="str">
        <f>IF(P20,IF(A1=-1,"check against regression based calculations",""),"")</f>
        <v/>
      </c>
      <c r="I34" s="66"/>
      <c r="J34" s="66"/>
      <c r="K34" s="107"/>
      <c r="L34" s="108"/>
      <c r="M34" s="48"/>
      <c r="N34" s="108" t="s">
        <v>88</v>
      </c>
    </row>
    <row r="35" spans="1:15" ht="16" x14ac:dyDescent="0.2">
      <c r="A35" s="66"/>
      <c r="B35" s="237" t="str">
        <f>IF(Q18,"y","")</f>
        <v>y</v>
      </c>
      <c r="C35" s="66" t="str">
        <f>IF(Q18,"x","")</f>
        <v>x</v>
      </c>
      <c r="D35" s="66" t="str">
        <f>IF(Q18,"z","")</f>
        <v>z</v>
      </c>
      <c r="E35" s="66" t="str">
        <f>IF(Q18,IF(A1=-1,"cv","sv"),"")</f>
        <v>cv</v>
      </c>
      <c r="F35" s="195"/>
      <c r="G35" s="66"/>
      <c r="H35" s="89" t="s">
        <v>70</v>
      </c>
      <c r="I35" s="66" t="str">
        <f>IF(P20,IF(A1=-1,"regression",""),"")</f>
        <v/>
      </c>
      <c r="J35" s="66"/>
      <c r="K35" s="107">
        <f>Basics!C4</f>
        <v>7639</v>
      </c>
      <c r="L35" s="108"/>
      <c r="M35" s="48"/>
      <c r="N35" s="108">
        <f>IF(AND(Q18,ABS(D6) &gt;0,E6&gt;3),(D39-B39*C38)/(SQRT(1-C38^2)),"")</f>
        <v>-4.7793635859186825</v>
      </c>
    </row>
    <row r="36" spans="1:15" ht="16" x14ac:dyDescent="0.2">
      <c r="A36" s="66" t="str">
        <f>B35</f>
        <v>y</v>
      </c>
      <c r="B36" s="237">
        <f>IF(Q18,1,"")</f>
        <v>1</v>
      </c>
      <c r="C36" s="66">
        <f>B37</f>
        <v>0.47305141513921189</v>
      </c>
      <c r="D36" s="66">
        <f>B38</f>
        <v>0.48297637104018071</v>
      </c>
      <c r="E36" s="66">
        <f>B39</f>
        <v>0.3185372070365749</v>
      </c>
      <c r="F36" s="195"/>
      <c r="G36" s="66" t="str">
        <f>IF(P20,IF(A1=-1,"bivariate",""),"")</f>
        <v/>
      </c>
      <c r="H36" s="89">
        <f>IF(D6&gt;0,B6^2+E6-3,"")</f>
        <v>7639.8427130525615</v>
      </c>
      <c r="I36" s="66" t="str">
        <f>IF(AND(P20,D6&gt;0,E6&gt;3,A1=-1),(B6^2-A1*B6*SQRT(H36))/(-(E6-3))+(-H36+A1*B6*SQRT(H36))/(-(E6-3))*C12,"")</f>
        <v/>
      </c>
      <c r="J36" s="66"/>
      <c r="K36" s="107"/>
      <c r="L36" s="108"/>
      <c r="M36" s="48"/>
      <c r="N36" s="108">
        <f>IF(AND(Q18,ABS(D6) &gt;0,E6&gt;3),C39^2+N35^2,"")</f>
        <v>22.842901522409452</v>
      </c>
    </row>
    <row r="37" spans="1:15" ht="16" x14ac:dyDescent="0.2">
      <c r="A37" s="66" t="str">
        <f>C35</f>
        <v>x</v>
      </c>
      <c r="B37" s="237">
        <f>IF(AND(Q18,D6&gt;0,H6&gt;C12^2),C21*SQRT((1-B27)*(1-C27))+SQRT(B27*C27),"")</f>
        <v>0.47305141513921189</v>
      </c>
      <c r="C37" s="66">
        <f>B36</f>
        <v>1</v>
      </c>
      <c r="D37" s="66">
        <f>C38</f>
        <v>0.99778636364290973</v>
      </c>
      <c r="E37" s="66">
        <f>C39</f>
        <v>-2.4191651534467395E-2</v>
      </c>
      <c r="F37" s="195"/>
      <c r="G37" s="66" t="str">
        <f>IF(P20,IF(A1=-1,"multivariate",""),"")</f>
        <v/>
      </c>
      <c r="H37" s="89">
        <f>IF(D6&gt;0,B6^2+E6-3-I6,"")</f>
        <v>7418.8427130525615</v>
      </c>
      <c r="I37" s="66" t="str">
        <f>IF(AND(P20,D6&gt;0,E6&gt;3,A1=-1),(B6^2+B6*SQRT(H37))/(-(E6-3-I6))+(-H37-B6*SQRT(H37))/(-(E6-3-I6))*C21,"")</f>
        <v/>
      </c>
      <c r="J37" s="66"/>
      <c r="K37" s="108"/>
      <c r="L37" s="108"/>
      <c r="M37" s="108"/>
      <c r="N37" s="108"/>
    </row>
    <row r="38" spans="1:15" ht="16" x14ac:dyDescent="0.2">
      <c r="A38" s="66" t="str">
        <f>D35</f>
        <v>z</v>
      </c>
      <c r="B38" s="237">
        <f>IF(AND(Q18,D6&gt;0,H6&gt; C12^2),SQRT(C27),"")</f>
        <v>0.48297637104018071</v>
      </c>
      <c r="C38" s="66">
        <f>IF(AND(Q18,D6&gt;0,H6&gt; C1071),SQRT(B27),"")</f>
        <v>0.99778636364290973</v>
      </c>
      <c r="D38" s="66">
        <f>B36</f>
        <v>1</v>
      </c>
      <c r="E38" s="66">
        <f>D39</f>
        <v>0</v>
      </c>
      <c r="F38" s="66" t="str">
        <f>IF(AND(P18,Q18),"final regress","")</f>
        <v>final regress</v>
      </c>
      <c r="G38" s="66"/>
      <c r="H38" s="107"/>
      <c r="I38" s="107"/>
      <c r="J38" s="107"/>
      <c r="K38" s="108"/>
      <c r="L38" s="108"/>
      <c r="M38" s="108"/>
      <c r="N38" s="108"/>
    </row>
    <row r="39" spans="1:15" ht="16" x14ac:dyDescent="0.2">
      <c r="A39" s="66" t="str">
        <f>E35</f>
        <v>cv</v>
      </c>
      <c r="B39" s="237">
        <f>IF(P18,F27,"")</f>
        <v>0.3185372070365749</v>
      </c>
      <c r="C39" s="66">
        <f>IF(P18,E27,"")</f>
        <v>-2.4191651534467395E-2</v>
      </c>
      <c r="D39" s="66">
        <f>IF(Q18,SQRT(A27),"")</f>
        <v>0</v>
      </c>
      <c r="E39" s="66">
        <f>B36</f>
        <v>1</v>
      </c>
      <c r="F39" s="66" t="str">
        <f>IF(AND(P18,Q18),"coeff(x)","")</f>
        <v>coeff(x)</v>
      </c>
      <c r="G39" s="66">
        <f>IF(AND(P18,Q18,ABS(D6) &gt;0,E6&gt;3),L58,"")</f>
        <v>-1.3685462098875094</v>
      </c>
      <c r="H39" s="107"/>
      <c r="I39" s="107"/>
      <c r="J39" s="107"/>
      <c r="K39" s="107"/>
      <c r="L39" s="108"/>
      <c r="M39" s="108"/>
      <c r="N39" s="108" t="s">
        <v>89</v>
      </c>
    </row>
    <row r="40" spans="1:15" ht="16" x14ac:dyDescent="0.2">
      <c r="A40" s="107"/>
      <c r="B40" s="254"/>
      <c r="C40" s="199"/>
      <c r="D40" s="199"/>
      <c r="E40" s="199"/>
      <c r="F40" s="66" t="str">
        <f>IF(AND(P18,Q18),"stderr","")</f>
        <v>stderr</v>
      </c>
      <c r="G40" s="66">
        <f>IF(AND(P18,Q18,ABS(D6) &gt;0,E6&gt;3),M58,"")</f>
        <v>0.69813673159091405</v>
      </c>
      <c r="H40" s="200"/>
      <c r="I40" s="107"/>
      <c r="J40" s="107"/>
      <c r="K40" s="107"/>
      <c r="L40" s="108"/>
      <c r="M40" s="108"/>
      <c r="N40" s="108" t="str">
        <f>IF(Q18,IF(AND(ABS(D6) &gt;0,E6&gt;3,(1-N36^2)&gt;0),(F27-SQRT(H6)*N36)/(SQRT(1-N36^2)),""),"")</f>
        <v/>
      </c>
    </row>
    <row r="41" spans="1:15" ht="18.75" customHeight="1" x14ac:dyDescent="0.2">
      <c r="A41" s="201" t="s">
        <v>49</v>
      </c>
      <c r="B41" s="255"/>
      <c r="C41" s="201"/>
      <c r="D41" s="201"/>
      <c r="E41" s="201"/>
      <c r="F41" s="201"/>
      <c r="G41" s="201"/>
      <c r="H41" s="201"/>
      <c r="I41" s="201"/>
      <c r="J41" s="201"/>
      <c r="K41" s="201"/>
      <c r="L41" s="108"/>
      <c r="M41" s="108"/>
      <c r="N41" s="108"/>
    </row>
    <row r="42" spans="1:15" ht="14.25" customHeight="1" x14ac:dyDescent="0.2">
      <c r="A42" s="201" t="s">
        <v>50</v>
      </c>
      <c r="B42" s="255"/>
      <c r="C42" s="201"/>
      <c r="D42" s="201"/>
      <c r="E42" s="201"/>
      <c r="F42" s="201"/>
      <c r="G42" s="201"/>
      <c r="H42" s="201"/>
      <c r="I42" s="201"/>
      <c r="J42" s="201"/>
      <c r="K42" s="201"/>
      <c r="L42" s="108"/>
      <c r="M42" s="108"/>
      <c r="N42" s="108" t="s">
        <v>90</v>
      </c>
    </row>
    <row r="43" spans="1:15" ht="13.5" customHeight="1" x14ac:dyDescent="0.2">
      <c r="A43" s="201" t="s">
        <v>63</v>
      </c>
      <c r="B43" s="255"/>
      <c r="C43" s="201"/>
      <c r="D43" s="201"/>
      <c r="E43" s="201"/>
      <c r="F43" s="201"/>
      <c r="G43" s="201"/>
      <c r="H43" s="201"/>
      <c r="I43" s="201"/>
      <c r="J43" s="201"/>
      <c r="K43" s="201"/>
      <c r="L43" s="108"/>
      <c r="M43" s="108"/>
      <c r="N43" s="108">
        <f>IF(AND(ABS(D6) &gt;0,E6&gt;3,Q18),(B39-B38*D39)/SQRT(1-D39^2),"")</f>
        <v>0.3185372070365749</v>
      </c>
    </row>
    <row r="44" spans="1:15" ht="15" customHeight="1" x14ac:dyDescent="0.2">
      <c r="A44" s="201" t="s">
        <v>138</v>
      </c>
      <c r="B44" s="255"/>
      <c r="C44" s="201"/>
      <c r="D44" s="201"/>
      <c r="E44" s="201"/>
      <c r="F44" s="201"/>
      <c r="G44" s="201"/>
      <c r="H44" s="201"/>
      <c r="I44" s="201"/>
      <c r="J44" s="201"/>
      <c r="K44" s="201"/>
      <c r="L44" s="108"/>
      <c r="M44" s="108"/>
      <c r="N44" s="108"/>
    </row>
    <row r="45" spans="1:15" ht="17.25" customHeight="1" x14ac:dyDescent="0.35">
      <c r="A45" s="7"/>
      <c r="L45" s="49"/>
      <c r="M45" s="50"/>
      <c r="N45" s="49"/>
    </row>
    <row r="46" spans="1:15" ht="15" x14ac:dyDescent="0.15">
      <c r="A46" s="23" t="s">
        <v>51</v>
      </c>
      <c r="B46" s="257"/>
      <c r="C46" s="24"/>
      <c r="D46" s="24"/>
      <c r="E46" s="24"/>
      <c r="F46" s="24"/>
      <c r="G46" s="24"/>
      <c r="H46" s="24"/>
      <c r="I46" s="24"/>
      <c r="J46" s="24"/>
      <c r="K46" s="24"/>
      <c r="L46" s="51"/>
      <c r="M46" s="51"/>
      <c r="N46" s="51"/>
      <c r="O46" s="7"/>
    </row>
    <row r="47" spans="1:15" x14ac:dyDescent="0.15">
      <c r="A47" s="23" t="s">
        <v>52</v>
      </c>
      <c r="B47" s="257"/>
      <c r="C47" s="24"/>
      <c r="D47" s="24"/>
      <c r="E47" s="24"/>
      <c r="F47" s="24"/>
      <c r="G47" s="24"/>
      <c r="H47" s="24"/>
      <c r="I47" s="24"/>
      <c r="J47" s="24"/>
      <c r="K47" s="24"/>
      <c r="L47" s="49"/>
      <c r="M47" s="49"/>
      <c r="N47" s="49"/>
    </row>
    <row r="48" spans="1:15" ht="15" x14ac:dyDescent="0.15">
      <c r="A48" s="23" t="s">
        <v>53</v>
      </c>
      <c r="B48" s="257"/>
      <c r="C48" s="24"/>
      <c r="D48" s="25"/>
      <c r="E48" s="25"/>
      <c r="F48" s="25"/>
      <c r="G48" s="25"/>
      <c r="H48" s="25"/>
      <c r="I48" s="25"/>
      <c r="J48" s="25"/>
      <c r="K48" s="25"/>
      <c r="L48" s="49"/>
      <c r="M48" s="51"/>
      <c r="N48" s="51"/>
      <c r="O48" s="7"/>
    </row>
    <row r="49" spans="1:14" x14ac:dyDescent="0.15">
      <c r="A49" s="7"/>
      <c r="D49" s="26"/>
      <c r="E49" s="26"/>
      <c r="F49" s="26"/>
      <c r="G49" s="26"/>
      <c r="H49" s="26"/>
      <c r="I49" s="26"/>
      <c r="J49" s="26"/>
      <c r="K49" s="26"/>
      <c r="L49" s="49"/>
      <c r="M49" s="49"/>
      <c r="N49" s="49"/>
    </row>
    <row r="50" spans="1:14" x14ac:dyDescent="0.15">
      <c r="A50" s="27"/>
      <c r="B50" s="258" t="s">
        <v>74</v>
      </c>
      <c r="C50" s="27"/>
      <c r="D50" s="28"/>
      <c r="E50" s="28"/>
      <c r="F50" s="28"/>
      <c r="G50" s="28"/>
      <c r="H50" s="28"/>
      <c r="I50" s="28"/>
      <c r="J50" s="28"/>
      <c r="K50" s="28"/>
      <c r="L50" s="51" t="s">
        <v>81</v>
      </c>
      <c r="M50" s="49">
        <f>IF(AND(ABS(D6) &gt;0,E6&gt;3,Q18),B38^2+N43^2,"")</f>
        <v>0.33473212724980411</v>
      </c>
      <c r="N50" s="49"/>
    </row>
    <row r="51" spans="1:14" x14ac:dyDescent="0.15">
      <c r="A51" s="29" t="s">
        <v>54</v>
      </c>
      <c r="B51" s="259"/>
      <c r="C51" s="28"/>
      <c r="D51" s="28"/>
      <c r="E51" s="28"/>
      <c r="F51" s="28"/>
      <c r="G51" s="28"/>
      <c r="H51" s="28"/>
      <c r="I51" s="28"/>
      <c r="J51" s="28"/>
      <c r="K51" s="28"/>
      <c r="L51" s="49"/>
      <c r="M51" s="51" t="s">
        <v>82</v>
      </c>
      <c r="N51" s="51" t="s">
        <v>84</v>
      </c>
    </row>
    <row r="52" spans="1:14" x14ac:dyDescent="0.15">
      <c r="A52" s="29" t="s">
        <v>57</v>
      </c>
      <c r="B52" s="259"/>
      <c r="C52" s="28"/>
      <c r="D52" s="28"/>
      <c r="E52" s="28"/>
      <c r="F52" s="28"/>
      <c r="G52" s="28"/>
      <c r="H52" s="28"/>
      <c r="I52" s="28"/>
      <c r="J52" s="28"/>
      <c r="K52" s="28"/>
      <c r="L52" s="51" t="s">
        <v>91</v>
      </c>
      <c r="M52" s="49">
        <f>IF(AND(ABS(D6) &gt;0,E6&gt;3,Q18),(SQRT(B27)-D39*C39)/SQRT(1-D39^2),"")</f>
        <v>0.99778636364290973</v>
      </c>
      <c r="N52" s="49">
        <f>IF(AND(ABS(D6) &gt;0,E6&gt;3,Q18),C39^2+M52^2,"")</f>
        <v>0.99616286347570604</v>
      </c>
    </row>
    <row r="53" spans="1:14" x14ac:dyDescent="0.15">
      <c r="A53" s="29" t="s">
        <v>58</v>
      </c>
      <c r="B53" s="259"/>
      <c r="C53" s="28"/>
      <c r="D53" s="27"/>
      <c r="E53" s="27"/>
      <c r="F53" s="27"/>
      <c r="G53" s="27"/>
      <c r="H53" s="27"/>
      <c r="I53" s="27"/>
      <c r="J53" s="27"/>
      <c r="K53" s="27"/>
      <c r="L53" s="49">
        <f>IF(AND(ABS(D6) &gt;0,E6&gt;3,Q18),SQRT((1-M50)*F6^2),"")</f>
        <v>0.80829879236479452</v>
      </c>
      <c r="M53" s="49"/>
      <c r="N53" s="49"/>
    </row>
    <row r="54" spans="1:14" x14ac:dyDescent="0.15">
      <c r="A54" s="29" t="s">
        <v>55</v>
      </c>
      <c r="B54" s="259"/>
      <c r="C54" s="28"/>
      <c r="D54" s="28"/>
      <c r="E54" s="28"/>
      <c r="F54" s="28"/>
      <c r="G54" s="28"/>
      <c r="H54" s="28"/>
      <c r="I54" s="28"/>
      <c r="J54" s="28"/>
      <c r="K54" s="28"/>
      <c r="L54" s="49"/>
      <c r="M54" s="49"/>
      <c r="N54" s="49"/>
    </row>
    <row r="55" spans="1:14" x14ac:dyDescent="0.15">
      <c r="A55" s="27"/>
      <c r="B55" s="258" t="s">
        <v>56</v>
      </c>
      <c r="C55" s="27"/>
      <c r="D55" s="28"/>
      <c r="E55" s="28"/>
      <c r="F55" s="28"/>
      <c r="G55" s="28"/>
      <c r="H55" s="28"/>
      <c r="I55" s="28"/>
      <c r="J55" s="28"/>
      <c r="K55" s="28"/>
      <c r="L55" s="51" t="s">
        <v>83</v>
      </c>
      <c r="M55" s="49"/>
      <c r="N55" s="49"/>
    </row>
    <row r="56" spans="1:14" x14ac:dyDescent="0.15">
      <c r="A56" s="28" t="s">
        <v>7</v>
      </c>
      <c r="B56" s="259"/>
      <c r="C56" s="28"/>
      <c r="D56" s="28"/>
      <c r="E56" s="28"/>
      <c r="F56" s="28"/>
      <c r="G56" s="28"/>
      <c r="H56" s="28"/>
      <c r="I56" s="28"/>
      <c r="J56" s="28"/>
      <c r="K56" s="28"/>
      <c r="L56" s="49">
        <f>IF(AND(ABS(D6) &gt;0,E6&gt;3,Q18),SQRT((1-N52)*G6^2),"")</f>
        <v>1.3441983551264979E-2</v>
      </c>
      <c r="M56" s="49"/>
      <c r="N56" s="49"/>
    </row>
    <row r="57" spans="1:14" x14ac:dyDescent="0.15">
      <c r="A57" s="29" t="s">
        <v>59</v>
      </c>
      <c r="B57" s="259"/>
      <c r="C57" s="28"/>
      <c r="D57" s="28"/>
      <c r="E57" s="28"/>
      <c r="F57" s="28"/>
      <c r="G57" s="28"/>
      <c r="H57" s="28"/>
      <c r="I57" s="28"/>
      <c r="J57" s="28"/>
      <c r="K57" s="28"/>
      <c r="L57" s="51" t="s">
        <v>85</v>
      </c>
      <c r="M57" s="51" t="s">
        <v>86</v>
      </c>
      <c r="N57" s="51" t="s">
        <v>87</v>
      </c>
    </row>
    <row r="58" spans="1:14" x14ac:dyDescent="0.15">
      <c r="A58" s="29" t="s">
        <v>64</v>
      </c>
      <c r="B58" s="259"/>
      <c r="C58" s="28"/>
      <c r="D58" s="28"/>
      <c r="E58" s="28"/>
      <c r="F58" s="28"/>
      <c r="G58" s="28"/>
      <c r="H58" s="28"/>
      <c r="I58" s="28"/>
      <c r="J58" s="28"/>
      <c r="K58" s="28"/>
      <c r="L58" s="49">
        <f>IF(AND(ABS(D6) &gt;0,E6&gt;3,Q18),A21*L53/L56,"")</f>
        <v>-1.3685462098875094</v>
      </c>
      <c r="M58" s="51">
        <f>IF(AND(ABS(D6) &gt;0,E6&gt;3,Q18),L58/B6,"")</f>
        <v>0.69813673159091405</v>
      </c>
      <c r="N58" s="49">
        <f>IF(AND(ABS(D6) &gt;0,E6&gt;3,Q18),L58/M58,"")</f>
        <v>-1.9602839214158896</v>
      </c>
    </row>
    <row r="59" spans="1:14" x14ac:dyDescent="0.15">
      <c r="A59" s="7"/>
      <c r="L59" s="49"/>
      <c r="M59" s="49"/>
      <c r="N59" s="49"/>
    </row>
    <row r="60" spans="1:14" x14ac:dyDescent="0.15">
      <c r="A60" s="7" t="s">
        <v>157</v>
      </c>
    </row>
    <row r="61" spans="1:14" x14ac:dyDescent="0.15">
      <c r="A61" s="279" t="s">
        <v>153</v>
      </c>
    </row>
    <row r="62" spans="1:14" x14ac:dyDescent="0.15">
      <c r="A62" s="279" t="s">
        <v>152</v>
      </c>
    </row>
    <row r="63" spans="1:14" x14ac:dyDescent="0.15">
      <c r="A63" s="279" t="s">
        <v>158</v>
      </c>
    </row>
    <row r="64" spans="1:14" x14ac:dyDescent="0.15">
      <c r="A64" s="283" t="s">
        <v>41</v>
      </c>
      <c r="H64" s="7" t="s">
        <v>116</v>
      </c>
    </row>
    <row r="66" spans="1:5" x14ac:dyDescent="0.15">
      <c r="A66" s="407"/>
      <c r="B66" s="407"/>
      <c r="C66" s="407"/>
      <c r="D66" s="407"/>
      <c r="E66" s="407"/>
    </row>
    <row r="67" spans="1:5" ht="16" x14ac:dyDescent="0.2">
      <c r="A67" s="7"/>
      <c r="B67" s="260"/>
      <c r="C67" s="20"/>
      <c r="D67" s="20"/>
      <c r="E67" s="21"/>
    </row>
    <row r="68" spans="1:5" ht="16" x14ac:dyDescent="0.2">
      <c r="A68" s="7"/>
      <c r="B68" s="260"/>
      <c r="C68" s="20"/>
      <c r="D68" s="20"/>
      <c r="E68" s="21"/>
    </row>
    <row r="69" spans="1:5" x14ac:dyDescent="0.15">
      <c r="A69" s="7"/>
      <c r="B69" s="261"/>
      <c r="C69" s="20"/>
      <c r="D69" s="20"/>
      <c r="E69" s="20"/>
    </row>
    <row r="70" spans="1:5" x14ac:dyDescent="0.15">
      <c r="A70" s="7"/>
      <c r="B70" s="260"/>
      <c r="C70" s="20"/>
      <c r="D70" s="20"/>
      <c r="E70" s="22"/>
    </row>
    <row r="71" spans="1:5" x14ac:dyDescent="0.15">
      <c r="A71" s="7"/>
      <c r="B71" s="260"/>
      <c r="C71" s="20"/>
      <c r="D71" s="20"/>
      <c r="E71" s="20"/>
    </row>
  </sheetData>
  <customSheetViews>
    <customSheetView guid="{0EA9B495-FD28-404D-B849-E5531D863006}" scale="90">
      <selection activeCell="C12" sqref="C12"/>
      <pageMargins left="0.7" right="0.7" top="0.75" bottom="0.75" header="0.3" footer="0.3"/>
      <pageSetup orientation="portrait" horizontalDpi="1200" verticalDpi="1200" r:id="rId1"/>
    </customSheetView>
  </customSheetViews>
  <mergeCells count="15">
    <mergeCell ref="B1:O1"/>
    <mergeCell ref="L20:M20"/>
    <mergeCell ref="K10:L10"/>
    <mergeCell ref="A19:C19"/>
    <mergeCell ref="D19:F19"/>
    <mergeCell ref="H19:J19"/>
    <mergeCell ref="K19:L19"/>
    <mergeCell ref="A66:E66"/>
    <mergeCell ref="I12:J12"/>
    <mergeCell ref="I21:J21"/>
    <mergeCell ref="A4:E4"/>
    <mergeCell ref="D10:F10"/>
    <mergeCell ref="H10:J10"/>
    <mergeCell ref="G11:H11"/>
    <mergeCell ref="G20:H20"/>
  </mergeCells>
  <conditionalFormatting sqref="A27">
    <cfRule type="expression" dxfId="45" priority="29">
      <formula>$P$6</formula>
    </cfRule>
  </conditionalFormatting>
  <conditionalFormatting sqref="A21:C21">
    <cfRule type="expression" dxfId="44" priority="33">
      <formula>$P$5</formula>
    </cfRule>
  </conditionalFormatting>
  <conditionalFormatting sqref="A17:D17">
    <cfRule type="expression" dxfId="43" priority="28">
      <formula>$P$4</formula>
    </cfRule>
  </conditionalFormatting>
  <conditionalFormatting sqref="A32:D32">
    <cfRule type="expression" dxfId="42" priority="23">
      <formula>$P$6</formula>
    </cfRule>
  </conditionalFormatting>
  <conditionalFormatting sqref="A66:E71">
    <cfRule type="expression" dxfId="41" priority="60">
      <formula>"$P$18=""FALSE"""</formula>
    </cfRule>
    <cfRule type="expression" dxfId="40" priority="59">
      <formula>$Q$18</formula>
    </cfRule>
  </conditionalFormatting>
  <conditionalFormatting sqref="B27:C27">
    <cfRule type="expression" dxfId="39" priority="31">
      <formula>$P$6</formula>
    </cfRule>
  </conditionalFormatting>
  <conditionalFormatting sqref="B36:E40">
    <cfRule type="expression" dxfId="38" priority="34">
      <formula>$P$18</formula>
    </cfRule>
  </conditionalFormatting>
  <conditionalFormatting sqref="D17">
    <cfRule type="expression" dxfId="37" priority="11">
      <formula>NOT($E$17)</formula>
    </cfRule>
  </conditionalFormatting>
  <conditionalFormatting sqref="D32">
    <cfRule type="expression" dxfId="36" priority="8">
      <formula>NOT($E$32)</formula>
    </cfRule>
  </conditionalFormatting>
  <conditionalFormatting sqref="D12:F12">
    <cfRule type="expression" dxfId="35" priority="53">
      <formula>$P$4</formula>
    </cfRule>
  </conditionalFormatting>
  <conditionalFormatting sqref="D21:F21">
    <cfRule type="expression" dxfId="34" priority="32">
      <formula>$P$5</formula>
    </cfRule>
  </conditionalFormatting>
  <conditionalFormatting sqref="D27:F27">
    <cfRule type="expression" dxfId="33" priority="30">
      <formula>$P$6</formula>
    </cfRule>
  </conditionalFormatting>
  <conditionalFormatting sqref="F38:G40">
    <cfRule type="expression" dxfId="32" priority="12">
      <formula>$P$18</formula>
    </cfRule>
  </conditionalFormatting>
  <conditionalFormatting sqref="G13:G15">
    <cfRule type="expression" dxfId="31" priority="52">
      <formula>$P$18</formula>
    </cfRule>
  </conditionalFormatting>
  <conditionalFormatting sqref="G13:H15">
    <cfRule type="expression" dxfId="30" priority="21">
      <formula>NOT($P$18)</formula>
    </cfRule>
  </conditionalFormatting>
  <conditionalFormatting sqref="G20:H20">
    <cfRule type="expression" dxfId="29" priority="18">
      <formula>NOT($P$10)</formula>
    </cfRule>
  </conditionalFormatting>
  <conditionalFormatting sqref="G34:J37">
    <cfRule type="expression" dxfId="28" priority="35">
      <formula>$P$20</formula>
    </cfRule>
  </conditionalFormatting>
  <conditionalFormatting sqref="H12">
    <cfRule type="expression" dxfId="27" priority="47">
      <formula>$P$9</formula>
    </cfRule>
    <cfRule type="expression" dxfId="26" priority="22">
      <formula>NOT($P$9)</formula>
    </cfRule>
  </conditionalFormatting>
  <conditionalFormatting sqref="H14:H15">
    <cfRule type="expression" dxfId="25" priority="51">
      <formula>$P$18</formula>
    </cfRule>
  </conditionalFormatting>
  <conditionalFormatting sqref="H21">
    <cfRule type="expression" dxfId="24" priority="42">
      <formula>$P$10</formula>
    </cfRule>
    <cfRule type="expression" dxfId="23" priority="16">
      <formula>NOT($P$13)</formula>
    </cfRule>
  </conditionalFormatting>
  <conditionalFormatting sqref="I17">
    <cfRule type="expression" dxfId="22" priority="27">
      <formula>$P$12</formula>
    </cfRule>
    <cfRule type="expression" dxfId="21" priority="10">
      <formula>NOT($J$17)</formula>
    </cfRule>
  </conditionalFormatting>
  <conditionalFormatting sqref="I32">
    <cfRule type="expression" dxfId="20" priority="25">
      <formula>$P$13</formula>
    </cfRule>
    <cfRule type="expression" dxfId="19" priority="7">
      <formula>NOT($J$32)</formula>
    </cfRule>
  </conditionalFormatting>
  <conditionalFormatting sqref="I11:J13 K13">
    <cfRule type="expression" dxfId="18" priority="20">
      <formula>NOT($P$12)</formula>
    </cfRule>
  </conditionalFormatting>
  <conditionalFormatting sqref="I12:J13">
    <cfRule type="expression" dxfId="17" priority="48">
      <formula>$P$12</formula>
    </cfRule>
  </conditionalFormatting>
  <conditionalFormatting sqref="I20:J22">
    <cfRule type="expression" dxfId="16" priority="17">
      <formula>NOT($P$13)</formula>
    </cfRule>
  </conditionalFormatting>
  <conditionalFormatting sqref="I21:J21">
    <cfRule type="expression" dxfId="15" priority="41">
      <formula>$P$13</formula>
    </cfRule>
  </conditionalFormatting>
  <conditionalFormatting sqref="I22:K22">
    <cfRule type="expression" dxfId="14" priority="40">
      <formula>$P$13</formula>
    </cfRule>
  </conditionalFormatting>
  <conditionalFormatting sqref="K12">
    <cfRule type="expression" dxfId="13" priority="44">
      <formula>$P$15</formula>
    </cfRule>
  </conditionalFormatting>
  <conditionalFormatting sqref="K13">
    <cfRule type="expression" dxfId="12" priority="49">
      <formula>$P$12</formula>
    </cfRule>
  </conditionalFormatting>
  <conditionalFormatting sqref="K21">
    <cfRule type="expression" dxfId="11" priority="43">
      <formula>$P$16</formula>
    </cfRule>
  </conditionalFormatting>
  <conditionalFormatting sqref="K12:M13">
    <cfRule type="expression" dxfId="10" priority="19">
      <formula>NOT($P$15)</formula>
    </cfRule>
  </conditionalFormatting>
  <conditionalFormatting sqref="K19:M22">
    <cfRule type="expression" dxfId="9" priority="15">
      <formula>NOT($P$16)</formula>
    </cfRule>
  </conditionalFormatting>
  <conditionalFormatting sqref="L3">
    <cfRule type="expression" dxfId="8" priority="1">
      <formula>$M$3</formula>
    </cfRule>
  </conditionalFormatting>
  <conditionalFormatting sqref="L12:L13">
    <cfRule type="expression" dxfId="7" priority="46">
      <formula>$P$15</formula>
    </cfRule>
  </conditionalFormatting>
  <conditionalFormatting sqref="L17">
    <cfRule type="expression" dxfId="6" priority="26">
      <formula>$P$15</formula>
    </cfRule>
    <cfRule type="expression" dxfId="5" priority="9">
      <formula>NOT($M$17)</formula>
    </cfRule>
  </conditionalFormatting>
  <conditionalFormatting sqref="L21">
    <cfRule type="expression" dxfId="4" priority="39">
      <formula>$P$16</formula>
    </cfRule>
  </conditionalFormatting>
  <conditionalFormatting sqref="L32">
    <cfRule type="expression" dxfId="3" priority="6">
      <formula>NOT($M$32)</formula>
    </cfRule>
    <cfRule type="expression" dxfId="2" priority="24">
      <formula>$P$16</formula>
    </cfRule>
  </conditionalFormatting>
  <conditionalFormatting sqref="L22:M22">
    <cfRule type="expression" dxfId="1" priority="38">
      <formula>$P$16</formula>
    </cfRule>
  </conditionalFormatting>
  <conditionalFormatting sqref="M13">
    <cfRule type="expression" dxfId="0" priority="45">
      <formula>$P$15</formula>
    </cfRule>
  </conditionalFormatting>
  <hyperlinks>
    <hyperlink ref="A61" r:id="rId2" display="https://www.msu.edu/~kenfrank/papers/impact of a confounding variable.pdf" xr:uid="{00000000-0004-0000-0200-000000000000}"/>
    <hyperlink ref="A62" r:id="rId3" display="https://www.msu.edu/~kenfrank/papers/INDICES OF ROBUSTNESS TO CONCERNS REGARDING THE REPRESENTATIVENESS OF A SAMPLE.doc" xr:uid="{00000000-0004-0000-0200-000001000000}"/>
    <hyperlink ref="A63" r:id="rId4" display="https://www.msu.edu/~kenfrank/papers/Does NBPTS Certification Affect the Number of Colleagues a Teacher Helps with Instructional Matters acceptance version 2.doc" xr:uid="{00000000-0004-0000-0200-000002000000}"/>
    <hyperlink ref="A64" r:id="rId5" location="causal" xr:uid="{00000000-0004-0000-0200-000003000000}"/>
  </hyperlinks>
  <pageMargins left="0.7" right="0.7" top="0.75" bottom="0.75" header="0.3" footer="0.3"/>
  <pageSetup orientation="portrait" horizontalDpi="1200" verticalDpi="1200" r:id="rId6"/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9" name="Check Box 3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38100</xdr:rowOff>
                  </from>
                  <to>
                    <xdr:col>14</xdr:col>
                    <xdr:colOff>558800</xdr:colOff>
                    <xdr:row>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10" name="Check Box 4">
              <controlPr defaultSize="0" autoFill="0" autoLine="0" autoPict="0">
                <anchor moveWithCells="1">
                  <from>
                    <xdr:col>14</xdr:col>
                    <xdr:colOff>0</xdr:colOff>
                    <xdr:row>4</xdr:row>
                    <xdr:rowOff>0</xdr:rowOff>
                  </from>
                  <to>
                    <xdr:col>15</xdr:col>
                    <xdr:colOff>38100</xdr:colOff>
                    <xdr:row>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11" name="Check Box 5">
              <controlPr defaultSize="0" autoFill="0" autoLine="0" autoPict="0">
                <anchor moveWithCells="1">
                  <from>
                    <xdr:col>14</xdr:col>
                    <xdr:colOff>12700</xdr:colOff>
                    <xdr:row>5</xdr:row>
                    <xdr:rowOff>12700</xdr:rowOff>
                  </from>
                  <to>
                    <xdr:col>14</xdr:col>
                    <xdr:colOff>596900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12" name="Check Box 6">
              <controlPr defaultSize="0" autoFill="0" autoLine="0" autoPict="0">
                <anchor moveWithCells="1">
                  <from>
                    <xdr:col>14</xdr:col>
                    <xdr:colOff>25400</xdr:colOff>
                    <xdr:row>8</xdr:row>
                    <xdr:rowOff>12700</xdr:rowOff>
                  </from>
                  <to>
                    <xdr:col>14</xdr:col>
                    <xdr:colOff>825500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3" name="Check Box 7">
              <controlPr defaultSize="0" autoFill="0" autoLine="0" autoPict="0">
                <anchor moveWithCells="1">
                  <from>
                    <xdr:col>14</xdr:col>
                    <xdr:colOff>25400</xdr:colOff>
                    <xdr:row>8</xdr:row>
                    <xdr:rowOff>279400</xdr:rowOff>
                  </from>
                  <to>
                    <xdr:col>14</xdr:col>
                    <xdr:colOff>800100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4" name="Check Box 9">
              <controlPr defaultSize="0" autoFill="0" autoLine="0" autoPict="0">
                <anchor moveWithCells="1">
                  <from>
                    <xdr:col>14</xdr:col>
                    <xdr:colOff>12700</xdr:colOff>
                    <xdr:row>11</xdr:row>
                    <xdr:rowOff>0</xdr:rowOff>
                  </from>
                  <to>
                    <xdr:col>14</xdr:col>
                    <xdr:colOff>774700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5" name="Check Box 10">
              <controlPr defaultSize="0" autoFill="0" autoLine="0" autoPict="0">
                <anchor moveWithCells="1">
                  <from>
                    <xdr:col>14</xdr:col>
                    <xdr:colOff>25400</xdr:colOff>
                    <xdr:row>11</xdr:row>
                    <xdr:rowOff>152400</xdr:rowOff>
                  </from>
                  <to>
                    <xdr:col>14</xdr:col>
                    <xdr:colOff>774700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6" name="Check Box 11">
              <controlPr defaultSize="0" autoFill="0" autoLine="0" autoPict="0">
                <anchor moveWithCells="1">
                  <from>
                    <xdr:col>14</xdr:col>
                    <xdr:colOff>25400</xdr:colOff>
                    <xdr:row>13</xdr:row>
                    <xdr:rowOff>152400</xdr:rowOff>
                  </from>
                  <to>
                    <xdr:col>15</xdr:col>
                    <xdr:colOff>0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7" name="Check Box 12">
              <controlPr defaultSize="0" autoFill="0" autoLine="0" autoPict="0">
                <anchor moveWithCells="1">
                  <from>
                    <xdr:col>14</xdr:col>
                    <xdr:colOff>25400</xdr:colOff>
                    <xdr:row>15</xdr:row>
                    <xdr:rowOff>0</xdr:rowOff>
                  </from>
                  <to>
                    <xdr:col>14</xdr:col>
                    <xdr:colOff>749300</xdr:colOff>
                    <xdr:row>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8" name="Check Box 13">
              <controlPr defaultSize="0" autoFill="0" autoLine="0" autoPict="0">
                <anchor moveWithCells="1">
                  <from>
                    <xdr:col>14</xdr:col>
                    <xdr:colOff>25400</xdr:colOff>
                    <xdr:row>16</xdr:row>
                    <xdr:rowOff>190500</xdr:rowOff>
                  </from>
                  <to>
                    <xdr:col>14</xdr:col>
                    <xdr:colOff>825500</xdr:colOff>
                    <xdr:row>17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9" name="Check Box 14">
              <controlPr defaultSize="0" autoFill="0" autoLine="0" autoPict="0">
                <anchor moveWithCells="1">
                  <from>
                    <xdr:col>14</xdr:col>
                    <xdr:colOff>25400</xdr:colOff>
                    <xdr:row>18</xdr:row>
                    <xdr:rowOff>203200</xdr:rowOff>
                  </from>
                  <to>
                    <xdr:col>14</xdr:col>
                    <xdr:colOff>749300</xdr:colOff>
                    <xdr:row>19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Z37"/>
  <sheetViews>
    <sheetView showGridLines="0" zoomScaleNormal="100" workbookViewId="0">
      <selection activeCell="G24" sqref="G24"/>
    </sheetView>
  </sheetViews>
  <sheetFormatPr baseColWidth="10" defaultColWidth="8.83203125" defaultRowHeight="13" x14ac:dyDescent="0.15"/>
  <cols>
    <col min="1" max="1" width="6.33203125" customWidth="1"/>
    <col min="2" max="2" width="9.33203125" customWidth="1"/>
    <col min="3" max="3" width="5.6640625" style="206" customWidth="1"/>
    <col min="4" max="4" width="7" customWidth="1"/>
    <col min="5" max="5" width="8.5" customWidth="1"/>
    <col min="6" max="6" width="11.6640625" customWidth="1"/>
    <col min="7" max="7" width="7.1640625" customWidth="1"/>
    <col min="8" max="8" width="3.6640625" customWidth="1"/>
    <col min="9" max="9" width="7.6640625" customWidth="1"/>
    <col min="10" max="10" width="7" customWidth="1"/>
    <col min="14" max="14" width="12.5" customWidth="1"/>
    <col min="15" max="15" width="9.1640625" style="295"/>
    <col min="16" max="16" width="9.1640625" style="295" customWidth="1"/>
    <col min="17" max="26" width="9.1640625" style="295"/>
  </cols>
  <sheetData>
    <row r="2" spans="3:14" x14ac:dyDescent="0.15">
      <c r="F2" s="1"/>
    </row>
    <row r="4" spans="3:14" x14ac:dyDescent="0.15">
      <c r="J4" s="295"/>
      <c r="K4" s="295"/>
    </row>
    <row r="5" spans="3:14" x14ac:dyDescent="0.15">
      <c r="J5" s="295"/>
      <c r="K5" s="295"/>
    </row>
    <row r="7" spans="3:14" ht="11" customHeight="1" x14ac:dyDescent="0.15">
      <c r="E7" s="295">
        <f>'correlation based'!C21</f>
        <v>-0.15208237916975162</v>
      </c>
      <c r="G7" s="295"/>
    </row>
    <row r="8" spans="3:14" ht="14" customHeight="1" x14ac:dyDescent="0.15">
      <c r="G8" s="295">
        <f>'correlation based'!A21</f>
        <v>-2.275888052317121E-2</v>
      </c>
    </row>
    <row r="9" spans="3:14" ht="12.75" customHeight="1" x14ac:dyDescent="0.15">
      <c r="H9" s="437"/>
      <c r="I9" s="439" t="s">
        <v>172</v>
      </c>
      <c r="J9" s="439"/>
      <c r="K9" s="295"/>
    </row>
    <row r="10" spans="3:14" ht="19.5" customHeight="1" x14ac:dyDescent="0.15">
      <c r="F10" s="391"/>
      <c r="G10" s="390"/>
      <c r="H10" s="437"/>
      <c r="I10" s="439"/>
      <c r="J10" s="439"/>
      <c r="K10" s="295"/>
    </row>
    <row r="11" spans="3:14" ht="1.5" customHeight="1" x14ac:dyDescent="0.15">
      <c r="C11" s="403"/>
      <c r="D11" s="403"/>
      <c r="E11" s="403"/>
      <c r="F11" s="297"/>
      <c r="G11" s="297"/>
      <c r="I11" s="439"/>
      <c r="J11" s="439"/>
      <c r="K11" s="295"/>
      <c r="M11" s="295"/>
      <c r="N11" s="295"/>
    </row>
    <row r="12" spans="3:14" ht="12.75" customHeight="1" x14ac:dyDescent="0.2">
      <c r="C12" s="403"/>
      <c r="D12" s="403"/>
      <c r="E12" s="403"/>
      <c r="I12" s="439"/>
      <c r="J12" s="439"/>
      <c r="K12" s="367">
        <f>'correlation based'!A21</f>
        <v>-2.275888052317121E-2</v>
      </c>
      <c r="M12" s="295"/>
      <c r="N12" s="295"/>
    </row>
    <row r="13" spans="3:14" x14ac:dyDescent="0.15">
      <c r="I13" s="296"/>
      <c r="M13" s="295"/>
      <c r="N13" s="295"/>
    </row>
    <row r="14" spans="3:14" ht="18" x14ac:dyDescent="0.2">
      <c r="D14" s="435"/>
      <c r="E14" s="435"/>
      <c r="I14" s="296"/>
      <c r="M14" s="432" t="s">
        <v>173</v>
      </c>
      <c r="N14" s="432"/>
    </row>
    <row r="15" spans="3:14" x14ac:dyDescent="0.15">
      <c r="E15" s="434"/>
      <c r="I15" s="296"/>
      <c r="M15" s="432"/>
      <c r="N15" s="432"/>
    </row>
    <row r="16" spans="3:14" x14ac:dyDescent="0.15">
      <c r="E16" s="434"/>
      <c r="I16" s="436"/>
      <c r="M16" s="295"/>
      <c r="N16" s="295"/>
    </row>
    <row r="17" spans="3:14" ht="14.5" customHeight="1" x14ac:dyDescent="0.15">
      <c r="C17" s="388">
        <f>'correlation based'!E21</f>
        <v>-0.36377919398061503</v>
      </c>
      <c r="I17" s="436"/>
      <c r="M17" s="295"/>
      <c r="N17" s="295"/>
    </row>
    <row r="18" spans="3:14" x14ac:dyDescent="0.15">
      <c r="M18" s="295"/>
      <c r="N18" s="295"/>
    </row>
    <row r="19" spans="3:14" ht="5" customHeight="1" x14ac:dyDescent="0.15">
      <c r="M19" s="295"/>
      <c r="N19" s="295"/>
    </row>
    <row r="20" spans="3:14" ht="16" customHeight="1" x14ac:dyDescent="0.15">
      <c r="G20" s="295">
        <f>'correlation based'!F21</f>
        <v>0.36377919398061503</v>
      </c>
      <c r="M20" s="295"/>
      <c r="N20" s="295"/>
    </row>
    <row r="21" spans="3:14" x14ac:dyDescent="0.15">
      <c r="D21" s="387">
        <f>'correlation based'!D21</f>
        <v>-0.13233530197318594</v>
      </c>
      <c r="E21" s="295"/>
      <c r="M21" s="295"/>
      <c r="N21" s="295"/>
    </row>
    <row r="22" spans="3:14" x14ac:dyDescent="0.15">
      <c r="M22" s="295"/>
      <c r="N22" s="295"/>
    </row>
    <row r="23" spans="3:14" x14ac:dyDescent="0.15">
      <c r="M23" s="295"/>
      <c r="N23" s="295"/>
    </row>
    <row r="24" spans="3:14" ht="10.5" customHeight="1" x14ac:dyDescent="0.15">
      <c r="D24" s="436"/>
      <c r="M24" s="295"/>
      <c r="N24" s="295"/>
    </row>
    <row r="25" spans="3:14" ht="12.75" customHeight="1" x14ac:dyDescent="0.2">
      <c r="C25" s="386"/>
      <c r="D25" s="436"/>
      <c r="M25" s="295"/>
      <c r="N25" s="295"/>
    </row>
    <row r="26" spans="3:14" ht="12.75" customHeight="1" x14ac:dyDescent="0.15">
      <c r="C26" s="389"/>
      <c r="D26" s="436"/>
      <c r="M26" s="295"/>
      <c r="N26" s="295"/>
    </row>
    <row r="27" spans="3:14" x14ac:dyDescent="0.15">
      <c r="M27" s="295"/>
      <c r="N27" s="295"/>
    </row>
    <row r="28" spans="3:14" ht="14.25" customHeight="1" x14ac:dyDescent="0.15">
      <c r="J28" s="438" t="s">
        <v>171</v>
      </c>
      <c r="K28" s="436">
        <f>'correlation based'!F21</f>
        <v>0.36377919398061503</v>
      </c>
      <c r="M28" s="295"/>
      <c r="N28" s="295"/>
    </row>
    <row r="29" spans="3:14" ht="21" customHeight="1" x14ac:dyDescent="0.15">
      <c r="J29" s="438"/>
      <c r="K29" s="436"/>
      <c r="M29" s="295"/>
      <c r="N29" s="295"/>
    </row>
    <row r="30" spans="3:14" ht="4.5" customHeight="1" x14ac:dyDescent="0.15">
      <c r="F30" s="433" t="str">
        <f>IF(D24="","",""&amp;TEXT(D24,"#.###")&amp;" x "&amp;TEXT(K28,"#.###"))</f>
        <v/>
      </c>
      <c r="J30" s="295"/>
      <c r="M30" s="295"/>
      <c r="N30" s="295"/>
    </row>
    <row r="31" spans="3:14" x14ac:dyDescent="0.15">
      <c r="F31" s="433"/>
      <c r="M31" s="295"/>
      <c r="N31" s="295"/>
    </row>
    <row r="32" spans="3:14" ht="13.5" customHeight="1" x14ac:dyDescent="0.2">
      <c r="F32" s="298" t="str">
        <f>IF(D24="","","="&amp;TEXT(D24*K28,"#.###"))</f>
        <v/>
      </c>
      <c r="M32" s="295"/>
      <c r="N32" s="295"/>
    </row>
    <row r="33" spans="5:21" ht="16" x14ac:dyDescent="0.2">
      <c r="F33" s="66" t="str">
        <f>"=impact"</f>
        <v>=impact</v>
      </c>
      <c r="I33" s="66" t="str">
        <f>IF(D24="","","If rcv.x="&amp;TEXT(D24,"#.###")&amp;" and rcv.y= "&amp;TEXT(K28,"#.###")&amp;" (with impact=rcv.x * rcv.y"&amp;TEXT(F32,"#.###")&amp;") then the rx.y of ")</f>
        <v/>
      </c>
      <c r="J33" s="66"/>
      <c r="K33" s="66"/>
      <c r="L33" s="66"/>
      <c r="M33" s="66"/>
      <c r="N33" s="66"/>
      <c r="O33" s="298"/>
      <c r="P33" s="298"/>
      <c r="Q33" s="298"/>
      <c r="R33" s="298"/>
      <c r="S33" s="298"/>
      <c r="T33" s="298"/>
      <c r="U33" s="298"/>
    </row>
    <row r="34" spans="5:21" ht="16" x14ac:dyDescent="0.2">
      <c r="F34" s="434"/>
      <c r="I34" s="66" t="str">
        <f>IF(D24="","",TEXT(G10,"#.###")&amp;" would become rx.y|cv of "&amp;TEXT(K12,"#.###")&amp;" if one were to control for the confound (cv). Therefore")</f>
        <v/>
      </c>
      <c r="J34" s="66"/>
      <c r="K34" s="66"/>
      <c r="L34" s="66"/>
      <c r="M34" s="66"/>
      <c r="N34" s="66"/>
      <c r="O34" s="298"/>
      <c r="P34" s="298"/>
      <c r="Q34" s="298"/>
      <c r="R34" s="298"/>
      <c r="S34" s="298"/>
      <c r="T34" s="298"/>
      <c r="U34" s="298"/>
    </row>
    <row r="35" spans="5:21" ht="16" x14ac:dyDescent="0.2">
      <c r="F35" s="434"/>
      <c r="I35" s="66" t="str">
        <f>IF(D24="","","because "&amp;TEXT(K12,"#.###")&amp;" is the threshold for making an inference,")</f>
        <v/>
      </c>
      <c r="J35" s="66"/>
      <c r="K35" s="66"/>
      <c r="L35" s="66"/>
      <c r="M35" s="66"/>
      <c r="N35" s="66"/>
      <c r="O35" s="298" t="str">
        <f>'correlation based'!A22</f>
        <v>The minimum impact to invalidate an inference for a null hypothesis of 0 effect is -.132 and is based on correlations</v>
      </c>
      <c r="P35" s="298"/>
      <c r="Q35" s="298"/>
      <c r="R35" s="298"/>
      <c r="S35" s="298"/>
      <c r="T35" s="298"/>
      <c r="U35" s="298"/>
    </row>
    <row r="36" spans="5:21" ht="18" x14ac:dyDescent="0.2">
      <c r="E36" s="300" t="s">
        <v>174</v>
      </c>
      <c r="I36" s="66"/>
      <c r="J36" s="66"/>
      <c r="K36" s="66" t="str">
        <f>'correlation based'!A23</f>
        <v>of -.364 with 0 and of .364 with the outcome, conditional on covariates.</v>
      </c>
      <c r="L36" s="66"/>
      <c r="M36" s="66"/>
      <c r="N36" s="66"/>
      <c r="O36" s="298"/>
      <c r="P36" s="298"/>
      <c r="Q36" s="298"/>
      <c r="R36" s="298"/>
      <c r="S36" s="298"/>
      <c r="T36" s="298" t="str">
        <f>'correlation based'!A24</f>
        <v>(signs are interchangeable)</v>
      </c>
      <c r="U36" s="298"/>
    </row>
    <row r="37" spans="5:21" x14ac:dyDescent="0.15">
      <c r="F37" s="299"/>
    </row>
  </sheetData>
  <mergeCells count="12">
    <mergeCell ref="C11:E12"/>
    <mergeCell ref="H9:H10"/>
    <mergeCell ref="I16:I17"/>
    <mergeCell ref="K28:K29"/>
    <mergeCell ref="J28:J29"/>
    <mergeCell ref="I9:J12"/>
    <mergeCell ref="M14:N15"/>
    <mergeCell ref="F30:F31"/>
    <mergeCell ref="F34:F35"/>
    <mergeCell ref="E15:E16"/>
    <mergeCell ref="D14:E14"/>
    <mergeCell ref="D24:D26"/>
  </mergeCells>
  <pageMargins left="0.7" right="0.7" top="0.75" bottom="0.75" header="0.3" footer="0.3"/>
  <pageSetup orientation="portrait" horizontalDpi="1200" verticalDpi="1200"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"/>
  <sheetViews>
    <sheetView topLeftCell="B16" zoomScaleNormal="100" workbookViewId="0">
      <selection activeCell="I21" sqref="I21"/>
    </sheetView>
  </sheetViews>
  <sheetFormatPr baseColWidth="10" defaultColWidth="8.83203125" defaultRowHeight="13" x14ac:dyDescent="0.15"/>
  <cols>
    <col min="1" max="1" width="19.5" customWidth="1"/>
    <col min="2" max="2" width="18" customWidth="1"/>
    <col min="3" max="3" width="25.33203125" customWidth="1"/>
    <col min="8" max="8" width="20.33203125" customWidth="1"/>
  </cols>
  <sheetData>
    <row r="1" spans="1:11" x14ac:dyDescent="0.15">
      <c r="A1" s="1" t="s">
        <v>237</v>
      </c>
      <c r="B1" s="368" t="str">
        <f>"Bias to Remove to"&amp;IF(ABS('replacement of cases'!A3)&gt;ABS('replacement of cases'!E3),"Invalidate the","Sustain an")&amp;"Inference."</f>
        <v>Bias to Remove toInvalidate theInference.</v>
      </c>
      <c r="C1" s="1" t="s">
        <v>238</v>
      </c>
      <c r="D1" s="1" t="s">
        <v>239</v>
      </c>
      <c r="F1" s="1" t="s">
        <v>240</v>
      </c>
      <c r="G1" s="1" t="s">
        <v>241</v>
      </c>
    </row>
    <row r="2" spans="1:11" x14ac:dyDescent="0.15">
      <c r="A2">
        <f>IF(ABS('replacement of cases'!I5)&gt;ABS('replacement of cases'!I4),0,'replacement of cases'!I5)</f>
        <v>0</v>
      </c>
      <c r="B2">
        <f>IF(ABS('replacement of cases'!A3)&gt;ABS('replacement of cases'!E3),1,0)</f>
        <v>1</v>
      </c>
    </row>
    <row r="3" spans="1:11" x14ac:dyDescent="0.15">
      <c r="A3">
        <f>(A2+A4)/2</f>
        <v>-7.6036181149926815E-2</v>
      </c>
      <c r="B3" s="1">
        <f>IF(ABS('replacement of cases'!A3)&gt;ABS('replacement of cases'!E3),(B2+B4)/2,1-'replacement of cases'!A3/'replacement of cases'!E3)</f>
        <v>0.5</v>
      </c>
    </row>
    <row r="4" spans="1:11" x14ac:dyDescent="0.15">
      <c r="A4">
        <f>'replacement of cases'!I5</f>
        <v>-0.15207236229985363</v>
      </c>
      <c r="B4">
        <f>IF(ABS('replacement of cases'!A3)&gt;ABS('replacement of cases'!E3),0,1-A2/A4)</f>
        <v>0</v>
      </c>
    </row>
    <row r="6" spans="1:11" x14ac:dyDescent="0.15">
      <c r="A6">
        <f>'replacement of cases'!I4</f>
        <v>-2.275734682169802E-2</v>
      </c>
      <c r="C6">
        <v>0</v>
      </c>
    </row>
    <row r="7" spans="1:11" x14ac:dyDescent="0.15">
      <c r="A7">
        <f>A6</f>
        <v>-2.275734682169802E-2</v>
      </c>
      <c r="C7">
        <v>1</v>
      </c>
    </row>
    <row r="8" spans="1:11" x14ac:dyDescent="0.15">
      <c r="A8">
        <f>'replacement of cases'!I5</f>
        <v>-0.15207236229985363</v>
      </c>
      <c r="D8">
        <v>0</v>
      </c>
    </row>
    <row r="9" spans="1:11" x14ac:dyDescent="0.15">
      <c r="A9">
        <f>A8</f>
        <v>-0.15207236229985363</v>
      </c>
      <c r="D9">
        <v>1</v>
      </c>
    </row>
    <row r="11" spans="1:11" x14ac:dyDescent="0.15">
      <c r="A11">
        <v>0.01</v>
      </c>
      <c r="F11">
        <f>(G11-A11)/(1-ABS(A11))</f>
        <v>-0.16370945686853902</v>
      </c>
      <c r="G11">
        <f>'replacement of cases'!I5</f>
        <v>-0.15207236229985363</v>
      </c>
      <c r="I11" s="1"/>
      <c r="J11" s="1"/>
      <c r="K11" s="1"/>
    </row>
    <row r="12" spans="1:11" x14ac:dyDescent="0.15">
      <c r="A12">
        <v>0.05</v>
      </c>
      <c r="F12">
        <f t="shared" ref="F12:F15" si="0">(G12-A12)/(1-ABS(A12))</f>
        <v>-0.21270774978931964</v>
      </c>
      <c r="G12">
        <f>G11</f>
        <v>-0.15207236229985363</v>
      </c>
    </row>
    <row r="13" spans="1:11" x14ac:dyDescent="0.15">
      <c r="A13">
        <v>0.2</v>
      </c>
      <c r="F13">
        <f t="shared" si="0"/>
        <v>-0.44009045287481702</v>
      </c>
      <c r="G13">
        <f>G11</f>
        <v>-0.15207236229985363</v>
      </c>
    </row>
    <row r="14" spans="1:11" x14ac:dyDescent="0.15">
      <c r="A14">
        <f>(A13+A15)/2</f>
        <v>2.396381885007319E-2</v>
      </c>
      <c r="F14">
        <f t="shared" si="0"/>
        <v>-0.18035825366896543</v>
      </c>
      <c r="G14">
        <f t="shared" ref="G14" si="1">G12</f>
        <v>-0.15207236229985363</v>
      </c>
    </row>
    <row r="15" spans="1:11" x14ac:dyDescent="0.15">
      <c r="A15">
        <f>A8</f>
        <v>-0.15207236229985363</v>
      </c>
      <c r="F15">
        <f t="shared" si="0"/>
        <v>0</v>
      </c>
      <c r="G15">
        <f>G11</f>
        <v>-0.15207236229985363</v>
      </c>
      <c r="I15" s="1" t="s">
        <v>242</v>
      </c>
    </row>
    <row r="16" spans="1:11" x14ac:dyDescent="0.15">
      <c r="I16" s="1" t="s">
        <v>243</v>
      </c>
    </row>
    <row r="17" spans="9:9" x14ac:dyDescent="0.15">
      <c r="I17" s="1" t="s">
        <v>244</v>
      </c>
    </row>
    <row r="18" spans="9:9" x14ac:dyDescent="0.15">
      <c r="I18" s="1" t="s">
        <v>245</v>
      </c>
    </row>
    <row r="19" spans="9:9" x14ac:dyDescent="0.15">
      <c r="I19" s="1" t="s">
        <v>246</v>
      </c>
    </row>
    <row r="20" spans="9:9" x14ac:dyDescent="0.15">
      <c r="I20" s="1" t="s">
        <v>247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81"/>
  <sheetViews>
    <sheetView topLeftCell="A4" zoomScale="90" zoomScaleNormal="90" workbookViewId="0">
      <selection activeCell="A29" sqref="A29"/>
    </sheetView>
  </sheetViews>
  <sheetFormatPr baseColWidth="10" defaultColWidth="8.83203125" defaultRowHeight="13" x14ac:dyDescent="0.15"/>
  <cols>
    <col min="2" max="3" width="9.1640625" style="206"/>
    <col min="4" max="4" width="11.6640625" style="206" customWidth="1"/>
    <col min="5" max="5" width="9.1640625" style="206"/>
    <col min="8" max="8" width="9.1640625" style="206"/>
    <col min="9" max="9" width="9.33203125" bestFit="1" customWidth="1"/>
    <col min="10" max="10" width="13.1640625" bestFit="1" customWidth="1"/>
    <col min="11" max="11" width="20.33203125" customWidth="1"/>
    <col min="12" max="12" width="7.6640625" style="206" customWidth="1"/>
  </cols>
  <sheetData>
    <row r="1" spans="1:22" ht="37" x14ac:dyDescent="0.35">
      <c r="A1" s="233" t="s">
        <v>163</v>
      </c>
      <c r="B1"/>
      <c r="C1"/>
      <c r="D1"/>
      <c r="E1"/>
      <c r="H1"/>
    </row>
    <row r="2" spans="1:22" ht="15" x14ac:dyDescent="0.15">
      <c r="A2" s="96" t="s">
        <v>132</v>
      </c>
      <c r="B2" s="96" t="str">
        <f>A35</f>
        <v>r(0,cv)</v>
      </c>
      <c r="C2" s="96"/>
      <c r="D2" s="96" t="s">
        <v>131</v>
      </c>
      <c r="E2" s="96" t="s">
        <v>130</v>
      </c>
      <c r="F2" s="96" t="s">
        <v>127</v>
      </c>
      <c r="G2" s="96" t="s">
        <v>128</v>
      </c>
      <c r="H2" s="96" t="s">
        <v>134</v>
      </c>
      <c r="I2" s="96" t="s">
        <v>129</v>
      </c>
      <c r="J2" s="96" t="s">
        <v>133</v>
      </c>
      <c r="K2" s="1"/>
      <c r="L2" s="205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15">
      <c r="A3" s="96">
        <v>0.01</v>
      </c>
      <c r="B3" s="96">
        <f>B7</f>
        <v>0.15208237916975162</v>
      </c>
      <c r="C3" s="96"/>
      <c r="D3" s="96">
        <f>D7</f>
        <v>2.275888052317121E-2</v>
      </c>
      <c r="E3" s="3">
        <f t="shared" ref="E3:E6" si="0">IF(D3="","",-A3*A3-D3*D3+A3*A3*D3*D3)</f>
        <v>-6.1791484600371511E-4</v>
      </c>
      <c r="F3" s="3" t="str">
        <f t="shared" ref="F3:F6" si="1">IF(D3="","",IF(J3&gt;0,0.5*(-2*A3*B3+SQRT(4*A3^2*B3^2-4*E3*(D3^2-A3^2*D3^2-B3^2))),""))</f>
        <v/>
      </c>
      <c r="G3" s="3">
        <f t="shared" ref="G3:G6" si="2">E3</f>
        <v>-6.1791484600371511E-4</v>
      </c>
      <c r="H3" s="96" t="str">
        <f t="shared" ref="H3:H6" si="3">IF(B3&gt;D3,IF(D3="","",IF(J3 &gt;0,F3/G3,"")),"")</f>
        <v/>
      </c>
      <c r="I3" s="3" t="str">
        <f t="shared" ref="I3:I6" si="4">IF(B3&gt;D3,IF(D3="","",IF(J3&gt;0,(B3-A3*H3)/(SQRT(1-A3^2)*SQRT(1-H3^2)),"")),"")</f>
        <v/>
      </c>
      <c r="J3" s="96">
        <f>IF(D3="","",(4*A3^2*B3^2-4*E3*(D3^2-A3^2*D3^2-B3^2)))</f>
        <v>-4.6635404498332158E-5</v>
      </c>
      <c r="K3" s="1"/>
      <c r="L3" s="205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15">
      <c r="A4" s="96">
        <v>0.03</v>
      </c>
      <c r="B4" s="96">
        <f t="shared" ref="B4:B6" si="5">B8</f>
        <v>0.15208237916975162</v>
      </c>
      <c r="C4" s="96"/>
      <c r="D4" s="96">
        <f t="shared" ref="D4:D6" si="6">D8</f>
        <v>2.275888052317121E-2</v>
      </c>
      <c r="E4" s="3">
        <f t="shared" si="0"/>
        <v>-1.4175004726895808E-3</v>
      </c>
      <c r="F4" s="3" t="str">
        <f t="shared" si="1"/>
        <v/>
      </c>
      <c r="G4" s="3">
        <f t="shared" si="2"/>
        <v>-1.4175004726895808E-3</v>
      </c>
      <c r="H4" s="96" t="str">
        <f t="shared" si="3"/>
        <v/>
      </c>
      <c r="I4" s="3" t="str">
        <f t="shared" si="4"/>
        <v/>
      </c>
      <c r="J4" s="96">
        <f t="shared" ref="J4:J6" si="7">IF(D4="","",(4*A4^2*B4^2-4*E4*(D4^2-A4^2*D4^2-B4^2)))</f>
        <v>-4.494294868446511E-5</v>
      </c>
      <c r="K4" s="1"/>
      <c r="L4" s="205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15">
      <c r="A5" s="96">
        <v>0.05</v>
      </c>
      <c r="B5" s="96">
        <f t="shared" si="5"/>
        <v>0.15208237916975162</v>
      </c>
      <c r="C5" s="3"/>
      <c r="D5" s="96">
        <f t="shared" si="6"/>
        <v>2.275888052317121E-2</v>
      </c>
      <c r="E5" s="3">
        <f t="shared" si="0"/>
        <v>-3.0166717260613125E-3</v>
      </c>
      <c r="F5" s="3" t="str">
        <f t="shared" si="1"/>
        <v/>
      </c>
      <c r="G5" s="3">
        <f t="shared" si="2"/>
        <v>-3.0166717260613125E-3</v>
      </c>
      <c r="H5" s="96" t="str">
        <f t="shared" si="3"/>
        <v/>
      </c>
      <c r="I5" s="3" t="str">
        <f t="shared" si="4"/>
        <v/>
      </c>
      <c r="J5" s="96">
        <f t="shared" si="7"/>
        <v>-4.1565988903436514E-5</v>
      </c>
      <c r="K5" s="1"/>
      <c r="L5" s="205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15">
      <c r="A6" s="96">
        <v>7.0000000000000007E-2</v>
      </c>
      <c r="B6" s="96">
        <f t="shared" si="5"/>
        <v>0.15208237916975162</v>
      </c>
      <c r="C6" s="3"/>
      <c r="D6" s="96">
        <f t="shared" si="6"/>
        <v>2.275888052317121E-2</v>
      </c>
      <c r="E6" s="3">
        <f t="shared" si="0"/>
        <v>-5.4154286061189093E-3</v>
      </c>
      <c r="F6" s="3" t="str">
        <f t="shared" si="1"/>
        <v/>
      </c>
      <c r="G6" s="3">
        <f t="shared" si="2"/>
        <v>-5.4154286061189093E-3</v>
      </c>
      <c r="H6" s="96" t="str">
        <f t="shared" si="3"/>
        <v/>
      </c>
      <c r="I6" s="3" t="str">
        <f t="shared" si="4"/>
        <v/>
      </c>
      <c r="J6" s="96">
        <f t="shared" si="7"/>
        <v>-3.6520428848657333E-5</v>
      </c>
      <c r="K6" s="1"/>
      <c r="L6" s="205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15">
      <c r="A7" s="3">
        <v>0.1</v>
      </c>
      <c r="B7" s="3">
        <f>IF('correlation based'!C21="","",ABS('correlation based'!C21))</f>
        <v>0.15208237916975162</v>
      </c>
      <c r="C7" s="3"/>
      <c r="D7" s="3">
        <f>IF('correlation based'!A21="","",ABS('correlation based'!A21))</f>
        <v>2.275888052317121E-2</v>
      </c>
      <c r="E7" s="3">
        <f>IF(D7="","",-A7*A7-D7*D7+A7*A7*D7*D7)</f>
        <v>-1.0512786976241303E-2</v>
      </c>
      <c r="F7" s="3" t="str">
        <f>IF(D7="","",IF(J7&gt;0,0.5*(-2*A7*B7+SQRT(4*A7^2*B7^2-4*E7*(D7^2-A7^2*D7^2-B7^2))),""))</f>
        <v/>
      </c>
      <c r="G7" s="3">
        <f>E7</f>
        <v>-1.0512786976241303E-2</v>
      </c>
      <c r="H7" s="96" t="str">
        <f>IF(B7&gt;D7,IF(D7="","",IF(J7 &gt;0,F7/G7,"")),"")</f>
        <v/>
      </c>
      <c r="I7" s="3" t="str">
        <f>IF(B7&gt;D7,IF(D7="","",IF(J7&gt;0,(B7-A7*H7)/(SQRT(1-A7^2)*SQRT(1-H7^2)),"")),"")</f>
        <v/>
      </c>
      <c r="J7" s="96">
        <f>IF(D7="","",(4*A7^2*B7^2-4*E7*(D7^2-A7^2*D7^2-B7^2)))</f>
        <v>-2.5877821580295329E-5</v>
      </c>
    </row>
    <row r="8" spans="1:22" x14ac:dyDescent="0.15">
      <c r="A8" s="3">
        <v>0.15</v>
      </c>
      <c r="B8" s="3">
        <f>B7</f>
        <v>0.15208237916975162</v>
      </c>
      <c r="C8" s="3"/>
      <c r="D8" s="3">
        <f>D7</f>
        <v>2.275888052317121E-2</v>
      </c>
      <c r="E8" s="3">
        <f t="shared" ref="E8:E24" si="8">IF(D8="","",-A8*A8-D8*D8+A8*A8*D8*D8)</f>
        <v>-2.3006312393207953E-2</v>
      </c>
      <c r="F8" s="3" t="str">
        <f t="shared" ref="F8:F24" si="9">IF(D8="","",IF(J8&gt;0,0.5*(-2*A8*B8+SQRT(4*A8^2*B8^2-4*E8*(D8^2-A8^2*D8^2-B8^2))),""))</f>
        <v/>
      </c>
      <c r="G8" s="3">
        <f t="shared" ref="G8:G24" si="10">E8</f>
        <v>-2.3006312393207953E-2</v>
      </c>
      <c r="H8" s="96" t="str">
        <f t="shared" ref="H8:H25" si="11">IF(B8&gt;D8,IF(D8="","",IF(J8 &gt;0,F8/G8,"")),"")</f>
        <v/>
      </c>
      <c r="I8" s="3" t="str">
        <f t="shared" ref="I8:I25" si="12">IF(B8&gt;D8,IF(D8="","",IF(J8&gt;0,(B8-A8*H8)/(SQRT(1-A8^2)*SQRT(1-H8^2)),"")),"")</f>
        <v/>
      </c>
      <c r="J8" s="96">
        <f t="shared" ref="J8:J24" si="13">IF(D8="","",(4*A8^2*B8^2-4*E8*(D8^2-A8^2*D8^2-B8^2)))</f>
        <v>-2.4857439495217654E-7</v>
      </c>
    </row>
    <row r="9" spans="1:22" x14ac:dyDescent="0.15">
      <c r="A9" s="3">
        <v>0.2</v>
      </c>
      <c r="B9" s="3">
        <f t="shared" ref="B9:B24" si="14">B8</f>
        <v>0.15208237916975162</v>
      </c>
      <c r="C9" s="3"/>
      <c r="D9" s="3">
        <f t="shared" ref="D9:D24" si="15">D8</f>
        <v>2.275888052317121E-2</v>
      </c>
      <c r="E9" s="3">
        <f t="shared" si="8"/>
        <v>-4.0497247976961269E-2</v>
      </c>
      <c r="F9" s="3">
        <f t="shared" si="9"/>
        <v>-2.7477717374891616E-2</v>
      </c>
      <c r="G9" s="3">
        <f t="shared" si="10"/>
        <v>-4.0497247976961269E-2</v>
      </c>
      <c r="H9" s="96">
        <f t="shared" si="11"/>
        <v>0.67850826284599852</v>
      </c>
      <c r="I9" s="3">
        <f t="shared" si="12"/>
        <v>2.2758880523171262E-2</v>
      </c>
      <c r="J9" s="96">
        <f t="shared" si="13"/>
        <v>3.4545205122756429E-5</v>
      </c>
    </row>
    <row r="10" spans="1:22" x14ac:dyDescent="0.15">
      <c r="A10" s="3">
        <v>0.25</v>
      </c>
      <c r="B10" s="3">
        <f t="shared" si="14"/>
        <v>0.15208237916975162</v>
      </c>
      <c r="C10" s="3"/>
      <c r="D10" s="3">
        <f t="shared" si="15"/>
        <v>2.275888052317121E-2</v>
      </c>
      <c r="E10" s="3">
        <f t="shared" si="8"/>
        <v>-6.2985593727501232E-2</v>
      </c>
      <c r="F10" s="3">
        <f t="shared" si="9"/>
        <v>-3.3621266706495234E-2</v>
      </c>
      <c r="G10" s="3">
        <f t="shared" si="10"/>
        <v>-6.2985593727501232E-2</v>
      </c>
      <c r="H10" s="96">
        <f t="shared" si="11"/>
        <v>0.53379296306951018</v>
      </c>
      <c r="I10" s="3">
        <f t="shared" si="12"/>
        <v>2.275888052317113E-2</v>
      </c>
      <c r="J10" s="96">
        <f t="shared" si="13"/>
        <v>7.7416350431055991E-5</v>
      </c>
    </row>
    <row r="11" spans="1:22" x14ac:dyDescent="0.15">
      <c r="A11" s="3">
        <v>0.3</v>
      </c>
      <c r="B11" s="3">
        <f t="shared" si="14"/>
        <v>0.15208237916975162</v>
      </c>
      <c r="C11" s="3"/>
      <c r="D11" s="3">
        <f t="shared" si="15"/>
        <v>2.275888052317121E-2</v>
      </c>
      <c r="E11" s="3">
        <f t="shared" si="8"/>
        <v>-9.0471349644827864E-2</v>
      </c>
      <c r="F11" s="3">
        <f t="shared" si="9"/>
        <v>-3.999073034714621E-2</v>
      </c>
      <c r="G11" s="3">
        <f t="shared" si="10"/>
        <v>-9.0471349644827864E-2</v>
      </c>
      <c r="H11" s="96">
        <f t="shared" si="11"/>
        <v>0.44202645925082018</v>
      </c>
      <c r="I11" s="3">
        <f t="shared" si="12"/>
        <v>2.2758880523171234E-2</v>
      </c>
      <c r="J11" s="96">
        <f t="shared" si="13"/>
        <v>1.2696707597624132E-4</v>
      </c>
    </row>
    <row r="12" spans="1:22" x14ac:dyDescent="0.15">
      <c r="A12" s="3">
        <v>0.35</v>
      </c>
      <c r="B12" s="3">
        <f t="shared" si="14"/>
        <v>0.15208237916975162</v>
      </c>
      <c r="C12" s="3"/>
      <c r="D12" s="3">
        <f t="shared" si="15"/>
        <v>2.275888052317121E-2</v>
      </c>
      <c r="E12" s="3">
        <f t="shared" si="8"/>
        <v>-0.12295451572894114</v>
      </c>
      <c r="F12" s="3">
        <f t="shared" si="9"/>
        <v>-4.6492940467240035E-2</v>
      </c>
      <c r="G12" s="3">
        <f t="shared" si="10"/>
        <v>-0.12295451572894114</v>
      </c>
      <c r="H12" s="96">
        <f t="shared" si="11"/>
        <v>0.37813121536532945</v>
      </c>
      <c r="I12" s="3">
        <f t="shared" si="12"/>
        <v>2.275888052317121E-2</v>
      </c>
      <c r="J12" s="96">
        <f t="shared" si="13"/>
        <v>1.8148897719266754E-4</v>
      </c>
    </row>
    <row r="13" spans="1:22" x14ac:dyDescent="0.15">
      <c r="A13" s="96">
        <v>0.4</v>
      </c>
      <c r="B13" s="3">
        <f t="shared" si="14"/>
        <v>0.15208237916975162</v>
      </c>
      <c r="C13" s="3"/>
      <c r="D13" s="3">
        <f t="shared" si="15"/>
        <v>2.275888052317121E-2</v>
      </c>
      <c r="E13" s="3">
        <f t="shared" si="8"/>
        <v>-0.16043509197984113</v>
      </c>
      <c r="F13" s="3">
        <f t="shared" si="9"/>
        <v>-5.3103737113646771E-2</v>
      </c>
      <c r="G13" s="3">
        <f t="shared" si="10"/>
        <v>-0.16043509197984113</v>
      </c>
      <c r="H13" s="96">
        <f t="shared" si="11"/>
        <v>0.33099826514463132</v>
      </c>
      <c r="I13" s="3">
        <f t="shared" si="12"/>
        <v>2.2758880523171335E-2</v>
      </c>
      <c r="J13" s="96">
        <f t="shared" si="13"/>
        <v>2.3896303050276006E-4</v>
      </c>
    </row>
    <row r="14" spans="1:22" x14ac:dyDescent="0.15">
      <c r="A14" s="96">
        <v>0.45</v>
      </c>
      <c r="B14" s="3">
        <f t="shared" si="14"/>
        <v>0.15208237916975162</v>
      </c>
      <c r="C14" s="3"/>
      <c r="D14" s="3">
        <f t="shared" si="15"/>
        <v>2.275888052317121E-2</v>
      </c>
      <c r="E14" s="3">
        <f t="shared" si="8"/>
        <v>-0.20291307839752773</v>
      </c>
      <c r="F14" s="3">
        <f t="shared" si="9"/>
        <v>-5.9819362211197422E-2</v>
      </c>
      <c r="G14" s="3">
        <f t="shared" si="10"/>
        <v>-0.20291307839752773</v>
      </c>
      <c r="H14" s="96">
        <f t="shared" si="11"/>
        <v>0.29480289138389149</v>
      </c>
      <c r="I14" s="3">
        <f t="shared" si="12"/>
        <v>2.275888052317129E-2</v>
      </c>
      <c r="J14" s="96">
        <f t="shared" si="13"/>
        <v>2.9705959331700199E-4</v>
      </c>
    </row>
    <row r="15" spans="1:22" x14ac:dyDescent="0.15">
      <c r="A15" s="96">
        <v>0.5</v>
      </c>
      <c r="B15" s="3">
        <f t="shared" si="14"/>
        <v>0.15208237916975162</v>
      </c>
      <c r="C15" s="3"/>
      <c r="D15" s="3">
        <f t="shared" si="15"/>
        <v>2.275888052317121E-2</v>
      </c>
      <c r="E15" s="3">
        <f t="shared" si="8"/>
        <v>-0.25038847498200095</v>
      </c>
      <c r="F15" s="3">
        <f t="shared" si="9"/>
        <v>-6.6645201025469891E-2</v>
      </c>
      <c r="G15" s="3">
        <f t="shared" si="10"/>
        <v>-0.25038847498200095</v>
      </c>
      <c r="H15" s="96">
        <f t="shared" si="11"/>
        <v>0.26616720689824341</v>
      </c>
      <c r="I15" s="3">
        <f t="shared" si="12"/>
        <v>2.2758880523171293E-2</v>
      </c>
      <c r="J15" s="96">
        <f t="shared" si="13"/>
        <v>3.5313840403394803E-4</v>
      </c>
    </row>
    <row r="16" spans="1:22" x14ac:dyDescent="0.15">
      <c r="A16" s="96">
        <v>0.55000000000000004</v>
      </c>
      <c r="B16" s="3">
        <f t="shared" si="14"/>
        <v>0.15208237916975162</v>
      </c>
      <c r="C16" s="3"/>
      <c r="D16" s="3">
        <f t="shared" si="15"/>
        <v>2.275888052317121E-2</v>
      </c>
      <c r="E16" s="3">
        <f t="shared" si="8"/>
        <v>-0.30286128173326093</v>
      </c>
      <c r="F16" s="3">
        <f t="shared" si="9"/>
        <v>-7.3592341543017012E-2</v>
      </c>
      <c r="G16" s="3">
        <f t="shared" si="10"/>
        <v>-0.30286128173326093</v>
      </c>
      <c r="H16" s="96">
        <f t="shared" si="11"/>
        <v>0.2429902598372809</v>
      </c>
      <c r="I16" s="3">
        <f t="shared" si="12"/>
        <v>2.2758880523171297E-2</v>
      </c>
      <c r="J16" s="96">
        <f t="shared" si="13"/>
        <v>4.0424858204021405E-4</v>
      </c>
    </row>
    <row r="17" spans="1:12" x14ac:dyDescent="0.15">
      <c r="A17" s="96">
        <v>0.6</v>
      </c>
      <c r="B17" s="3">
        <f t="shared" si="14"/>
        <v>0.15208237916975162</v>
      </c>
      <c r="C17" s="3"/>
      <c r="D17" s="3">
        <f t="shared" si="15"/>
        <v>2.275888052317121E-2</v>
      </c>
      <c r="E17" s="3">
        <f t="shared" si="8"/>
        <v>-0.36033149865130748</v>
      </c>
      <c r="F17" s="3">
        <f t="shared" si="9"/>
        <v>-8.0676719384834797E-2</v>
      </c>
      <c r="G17" s="3">
        <f t="shared" si="10"/>
        <v>-0.36033149865130748</v>
      </c>
      <c r="H17" s="96">
        <f t="shared" si="11"/>
        <v>0.22389582838802999</v>
      </c>
      <c r="I17" s="3">
        <f t="shared" si="12"/>
        <v>2.275888052317122E-2</v>
      </c>
      <c r="J17" s="96">
        <f t="shared" si="13"/>
        <v>4.4712862771047884E-4</v>
      </c>
    </row>
    <row r="18" spans="1:12" x14ac:dyDescent="0.15">
      <c r="A18" s="96">
        <v>0.65</v>
      </c>
      <c r="B18" s="3">
        <f t="shared" si="14"/>
        <v>0.15208237916975162</v>
      </c>
      <c r="C18" s="3"/>
      <c r="D18" s="3">
        <f t="shared" si="15"/>
        <v>2.275888052317121E-2</v>
      </c>
      <c r="E18" s="3">
        <f t="shared" si="8"/>
        <v>-0.42279912573614076</v>
      </c>
      <c r="F18" s="3">
        <f t="shared" si="9"/>
        <v>-8.7919580775287456E-2</v>
      </c>
      <c r="G18" s="3">
        <f t="shared" si="10"/>
        <v>-0.42279912573614076</v>
      </c>
      <c r="H18" s="96">
        <f t="shared" si="11"/>
        <v>0.20794645831447639</v>
      </c>
      <c r="I18" s="3">
        <f t="shared" si="12"/>
        <v>2.2758880523171328E-2</v>
      </c>
      <c r="J18" s="96">
        <f t="shared" si="13"/>
        <v>4.7820642240749972E-4</v>
      </c>
    </row>
    <row r="19" spans="1:12" x14ac:dyDescent="0.15">
      <c r="A19" s="96">
        <v>0.7</v>
      </c>
      <c r="B19" s="3">
        <f t="shared" si="14"/>
        <v>0.15208237916975162</v>
      </c>
      <c r="C19" s="3"/>
      <c r="D19" s="3">
        <f t="shared" si="15"/>
        <v>2.275888052317121E-2</v>
      </c>
      <c r="E19" s="3">
        <f t="shared" si="8"/>
        <v>-0.4902641629877606</v>
      </c>
      <c r="F19" s="3">
        <f t="shared" si="9"/>
        <v>-9.5349118838804092E-2</v>
      </c>
      <c r="G19" s="3">
        <f t="shared" si="10"/>
        <v>-0.4902641629877606</v>
      </c>
      <c r="H19" s="96">
        <f t="shared" si="11"/>
        <v>0.19448518989788874</v>
      </c>
      <c r="I19" s="3">
        <f t="shared" si="12"/>
        <v>2.2758880523171276E-2</v>
      </c>
      <c r="J19" s="96">
        <f t="shared" si="13"/>
        <v>4.9359922848207782E-4</v>
      </c>
    </row>
    <row r="20" spans="1:12" x14ac:dyDescent="0.15">
      <c r="A20" s="96">
        <v>0.75</v>
      </c>
      <c r="B20" s="3">
        <f t="shared" si="14"/>
        <v>0.15208237916975162</v>
      </c>
      <c r="C20" s="3"/>
      <c r="D20" s="3">
        <f t="shared" si="15"/>
        <v>2.275888052317121E-2</v>
      </c>
      <c r="E20" s="3">
        <f t="shared" si="8"/>
        <v>-0.56272661040616723</v>
      </c>
      <c r="F20" s="3">
        <f t="shared" si="9"/>
        <v>-0.10300382695660204</v>
      </c>
      <c r="G20" s="3">
        <f t="shared" si="10"/>
        <v>-0.56272661040616723</v>
      </c>
      <c r="H20" s="96">
        <f t="shared" si="11"/>
        <v>0.18304417287509381</v>
      </c>
      <c r="I20" s="3">
        <f t="shared" si="12"/>
        <v>2.2758880523171154E-2</v>
      </c>
      <c r="J20" s="96">
        <f t="shared" si="13"/>
        <v>4.8911368927308935E-4</v>
      </c>
    </row>
    <row r="21" spans="1:12" x14ac:dyDescent="0.15">
      <c r="A21" s="96">
        <v>0.8</v>
      </c>
      <c r="B21" s="3">
        <f t="shared" si="14"/>
        <v>0.15208237916975162</v>
      </c>
      <c r="C21" s="3"/>
      <c r="D21" s="3">
        <f t="shared" si="15"/>
        <v>2.275888052317121E-2</v>
      </c>
      <c r="E21" s="3">
        <f t="shared" si="8"/>
        <v>-0.64018646799136059</v>
      </c>
      <c r="F21" s="3">
        <f t="shared" si="9"/>
        <v>-0.11093923296345964</v>
      </c>
      <c r="G21" s="3">
        <f t="shared" si="10"/>
        <v>-0.64018646799136059</v>
      </c>
      <c r="H21" s="96">
        <f t="shared" si="11"/>
        <v>0.17329206178246928</v>
      </c>
      <c r="I21" s="3">
        <f t="shared" si="12"/>
        <v>2.2758880523171224E-2</v>
      </c>
      <c r="J21" s="96">
        <f t="shared" si="13"/>
        <v>4.6024582910748901E-4</v>
      </c>
    </row>
    <row r="22" spans="1:12" x14ac:dyDescent="0.15">
      <c r="A22" s="96">
        <v>0.85</v>
      </c>
      <c r="B22" s="3">
        <f t="shared" si="14"/>
        <v>0.15208237916975162</v>
      </c>
      <c r="C22" s="3"/>
      <c r="D22" s="3">
        <f t="shared" si="15"/>
        <v>2.275888052317121E-2</v>
      </c>
      <c r="E22" s="3">
        <f t="shared" si="8"/>
        <v>-0.72264373574334029</v>
      </c>
      <c r="F22" s="3">
        <f t="shared" si="9"/>
        <v>-0.11924279619107035</v>
      </c>
      <c r="G22" s="3">
        <f t="shared" si="10"/>
        <v>-0.72264373574334029</v>
      </c>
      <c r="H22" s="96">
        <f t="shared" si="11"/>
        <v>0.16500910516910858</v>
      </c>
      <c r="I22" s="3">
        <f t="shared" si="12"/>
        <v>2.2758880523170998E-2</v>
      </c>
      <c r="J22" s="96">
        <f t="shared" si="13"/>
        <v>4.0218105330026843E-4</v>
      </c>
    </row>
    <row r="23" spans="1:12" x14ac:dyDescent="0.15">
      <c r="A23" s="96">
        <v>0.9</v>
      </c>
      <c r="B23" s="3">
        <f>B22</f>
        <v>0.15208237916975162</v>
      </c>
      <c r="C23" s="3"/>
      <c r="D23" s="3">
        <f>D22</f>
        <v>2.275888052317121E-2</v>
      </c>
      <c r="E23" s="3">
        <f t="shared" si="8"/>
        <v>-0.810098413662107</v>
      </c>
      <c r="F23" s="3">
        <f t="shared" si="9"/>
        <v>-0.12807365620713099</v>
      </c>
      <c r="G23" s="3">
        <f t="shared" si="10"/>
        <v>-0.810098413662107</v>
      </c>
      <c r="H23" s="96">
        <f t="shared" si="11"/>
        <v>0.15809641649360229</v>
      </c>
      <c r="I23" s="3">
        <f t="shared" si="12"/>
        <v>2.2758880523171158E-2</v>
      </c>
      <c r="J23" s="96">
        <f t="shared" si="13"/>
        <v>3.0979414815451856E-4</v>
      </c>
    </row>
    <row r="24" spans="1:12" x14ac:dyDescent="0.15">
      <c r="A24" s="96">
        <v>0.95</v>
      </c>
      <c r="B24" s="3">
        <f t="shared" si="14"/>
        <v>0.15208237916975162</v>
      </c>
      <c r="C24" s="3"/>
      <c r="D24" s="3">
        <f t="shared" si="15"/>
        <v>2.275888052317121E-2</v>
      </c>
      <c r="E24" s="3">
        <f t="shared" si="8"/>
        <v>-0.90255050174766016</v>
      </c>
      <c r="F24" s="3">
        <f t="shared" si="9"/>
        <v>-0.13781400329542248</v>
      </c>
      <c r="G24" s="3">
        <f t="shared" si="10"/>
        <v>-0.90255050174766016</v>
      </c>
      <c r="H24" s="96">
        <f t="shared" si="11"/>
        <v>0.15269395233681146</v>
      </c>
      <c r="I24" s="3">
        <f t="shared" si="12"/>
        <v>2.275888052317164E-2</v>
      </c>
      <c r="J24" s="96">
        <f t="shared" si="13"/>
        <v>1.7764928096136723E-4</v>
      </c>
    </row>
    <row r="25" spans="1:12" x14ac:dyDescent="0.15">
      <c r="A25" s="1"/>
      <c r="B25"/>
      <c r="C25"/>
      <c r="F25" s="206"/>
      <c r="G25" s="206"/>
      <c r="H25" s="205" t="str">
        <f t="shared" si="11"/>
        <v/>
      </c>
      <c r="I25" s="206" t="str">
        <f t="shared" si="12"/>
        <v/>
      </c>
      <c r="J25" s="203"/>
    </row>
    <row r="26" spans="1:12" x14ac:dyDescent="0.15">
      <c r="A26" s="1"/>
      <c r="B26"/>
      <c r="C26"/>
      <c r="F26" s="206"/>
      <c r="G26" s="206"/>
      <c r="H26" s="205"/>
      <c r="I26" s="206"/>
      <c r="J26" s="203"/>
    </row>
    <row r="27" spans="1:12" x14ac:dyDescent="0.15">
      <c r="A27" s="205"/>
      <c r="F27" s="206"/>
      <c r="G27" s="206"/>
      <c r="H27" s="205"/>
      <c r="I27" s="206"/>
      <c r="J27" s="203"/>
    </row>
    <row r="28" spans="1:12" x14ac:dyDescent="0.15">
      <c r="A28" s="203"/>
      <c r="B28" s="204"/>
      <c r="C28" s="204"/>
      <c r="D28" s="204"/>
      <c r="E28" s="204"/>
      <c r="F28" s="204"/>
      <c r="G28" s="204"/>
      <c r="H28" s="203"/>
      <c r="I28" s="204"/>
      <c r="J28" s="203"/>
    </row>
    <row r="29" spans="1:12" x14ac:dyDescent="0.15">
      <c r="A29" s="205" t="s">
        <v>232</v>
      </c>
      <c r="B29" s="204"/>
      <c r="C29" s="204"/>
      <c r="D29" s="204"/>
      <c r="E29" s="204"/>
      <c r="F29" s="204"/>
      <c r="G29" s="204"/>
      <c r="H29" s="203"/>
      <c r="I29" s="204"/>
      <c r="J29" s="203"/>
    </row>
    <row r="30" spans="1:12" x14ac:dyDescent="0.15">
      <c r="A30" s="205" t="str">
        <f>"The Impact is maximized where lines intersect: r(x,cv)=r(y,cv)="&amp;TEXT('correlation based'!F21,".###")</f>
        <v>The Impact is maximized where lines intersect: r(x,cv)=r(y,cv)=.364</v>
      </c>
      <c r="B30" s="204"/>
      <c r="C30" s="204"/>
      <c r="D30" s="204"/>
      <c r="E30" s="204"/>
      <c r="F30" s="204"/>
      <c r="G30" s="204"/>
      <c r="I30" s="204"/>
      <c r="J30" s="203"/>
    </row>
    <row r="31" spans="1:12" x14ac:dyDescent="0.15">
      <c r="A31" s="203" t="str">
        <f>"This creates the smallest product,  r(x,cv) x r(y,cv)="&amp;TEXT(ABS('correlation based'!D21),".###")&amp;", that will invalidate the inference."</f>
        <v>This creates the smallest product,  r(x,cv) x r(y,cv)=.132, that will invalidate the inference.</v>
      </c>
      <c r="B31" s="204"/>
      <c r="C31" s="204"/>
      <c r="D31" s="204"/>
      <c r="E31" s="204"/>
      <c r="F31" s="227"/>
      <c r="H31" s="203"/>
      <c r="I31" s="204"/>
      <c r="J31" s="203"/>
      <c r="L31" s="227"/>
    </row>
    <row r="32" spans="1:12" x14ac:dyDescent="0.15">
      <c r="A32" s="205" t="s">
        <v>230</v>
      </c>
      <c r="B32" s="204"/>
      <c r="C32" s="204"/>
      <c r="D32" s="204"/>
      <c r="E32" s="204"/>
      <c r="F32" s="204"/>
      <c r="G32" s="204"/>
      <c r="H32" s="203"/>
      <c r="I32" s="204"/>
      <c r="J32" s="203"/>
    </row>
    <row r="33" spans="1:13" x14ac:dyDescent="0.15">
      <c r="A33" s="203" t="s">
        <v>231</v>
      </c>
      <c r="B33" s="204"/>
      <c r="C33" s="204"/>
      <c r="D33" s="204"/>
      <c r="E33" s="204"/>
      <c r="F33" s="204"/>
      <c r="G33" s="204"/>
      <c r="H33" s="203"/>
      <c r="I33" s="204"/>
      <c r="J33" s="203"/>
    </row>
    <row r="34" spans="1:13" x14ac:dyDescent="0.15">
      <c r="A34" s="1"/>
      <c r="B34"/>
      <c r="C34"/>
      <c r="D34"/>
      <c r="E34"/>
      <c r="H34" s="203"/>
      <c r="I34" s="204"/>
      <c r="J34" s="203"/>
    </row>
    <row r="35" spans="1:13" ht="15" x14ac:dyDescent="0.15">
      <c r="A35" s="1" t="str">
        <f>'correlation based'!E11</f>
        <v>r(0,cv)</v>
      </c>
      <c r="B35" s="1" t="s">
        <v>134</v>
      </c>
      <c r="C35" s="1" t="s">
        <v>226</v>
      </c>
      <c r="D35" s="1" t="s">
        <v>135</v>
      </c>
      <c r="E35" s="1" t="s">
        <v>136</v>
      </c>
      <c r="H35"/>
    </row>
    <row r="36" spans="1:13" x14ac:dyDescent="0.15">
      <c r="A36">
        <f>B79</f>
        <v>0.15269395233681146</v>
      </c>
      <c r="B36">
        <f>IF(A79&gt;0,A79,NA())</f>
        <v>0.95</v>
      </c>
      <c r="C36"/>
      <c r="D36" s="1">
        <f>D79</f>
        <v>0.14505925471997089</v>
      </c>
      <c r="E36" s="1">
        <f>E79</f>
        <v>0</v>
      </c>
      <c r="H36"/>
    </row>
    <row r="37" spans="1:13" x14ac:dyDescent="0.15">
      <c r="A37" s="1">
        <f>B78</f>
        <v>0.15809641649360229</v>
      </c>
      <c r="B37" s="1">
        <f>IF(A78&gt;0,A78,NA())</f>
        <v>0.9</v>
      </c>
      <c r="C37" s="1"/>
      <c r="D37" s="1">
        <f>D78</f>
        <v>0.14228677484424207</v>
      </c>
      <c r="E37" s="1" t="str">
        <f>E78</f>
        <v/>
      </c>
      <c r="H37"/>
    </row>
    <row r="38" spans="1:13" x14ac:dyDescent="0.15">
      <c r="A38" s="1">
        <f>B77</f>
        <v>0.16500910516910858</v>
      </c>
      <c r="B38" s="1">
        <f>IF(A77&gt;0,A77,NA())</f>
        <v>0.85</v>
      </c>
      <c r="C38" s="1"/>
      <c r="D38" s="1">
        <f>D77</f>
        <v>0.14025773939374228</v>
      </c>
      <c r="E38" s="1">
        <f>E77</f>
        <v>2.275888052317164E-2</v>
      </c>
      <c r="H38"/>
    </row>
    <row r="39" spans="1:13" x14ac:dyDescent="0.15">
      <c r="A39" s="1">
        <f>B76</f>
        <v>0.17329206178246928</v>
      </c>
      <c r="B39" s="1">
        <f>IF(A76&gt;0,A76,NA())</f>
        <v>0.8</v>
      </c>
      <c r="C39" s="1"/>
      <c r="D39" s="1">
        <f>D76</f>
        <v>0.13863364942597542</v>
      </c>
      <c r="E39" s="1">
        <f>E76</f>
        <v>2.2758880523171158E-2</v>
      </c>
      <c r="H39"/>
    </row>
    <row r="40" spans="1:13" x14ac:dyDescent="0.15">
      <c r="A40" s="1">
        <f>B75</f>
        <v>0.18304417287509381</v>
      </c>
      <c r="B40" s="1">
        <f>IF(A75&gt;0,A75,NA())</f>
        <v>0.75</v>
      </c>
      <c r="C40" s="1"/>
      <c r="D40" s="1">
        <f>D75</f>
        <v>0.13728312965632036</v>
      </c>
      <c r="E40" s="1">
        <f>E75</f>
        <v>2.2758880523170998E-2</v>
      </c>
      <c r="H40"/>
    </row>
    <row r="41" spans="1:13" x14ac:dyDescent="0.15">
      <c r="A41" s="1">
        <f>B74</f>
        <v>0.19448518989788874</v>
      </c>
      <c r="B41" s="1">
        <f>IF(A74&gt;0,A74,NA())</f>
        <v>0.7</v>
      </c>
      <c r="C41" s="1"/>
      <c r="D41" s="1">
        <f>D74</f>
        <v>0.1361396329285221</v>
      </c>
      <c r="E41" s="1">
        <f>E74</f>
        <v>2.2758880523171224E-2</v>
      </c>
      <c r="H41"/>
    </row>
    <row r="42" spans="1:13" x14ac:dyDescent="0.15">
      <c r="A42" s="1">
        <f>B73</f>
        <v>0.20794645831447639</v>
      </c>
      <c r="B42" s="1">
        <f>IF(A73&gt;0,A73,NA())</f>
        <v>0.65</v>
      </c>
      <c r="C42" s="1"/>
      <c r="D42" s="1">
        <f>D73</f>
        <v>0.13516519790440965</v>
      </c>
      <c r="E42" s="1">
        <f>E73</f>
        <v>2.2758880523171154E-2</v>
      </c>
      <c r="H42"/>
    </row>
    <row r="43" spans="1:13" x14ac:dyDescent="0.15">
      <c r="A43" s="1">
        <f>B72</f>
        <v>0.22389582838802999</v>
      </c>
      <c r="B43" s="1">
        <f>IF(A72&gt;0,A72,NA())</f>
        <v>0.6</v>
      </c>
      <c r="C43" s="1"/>
      <c r="D43" s="1">
        <f>D72</f>
        <v>0.134337497032818</v>
      </c>
      <c r="E43" s="1">
        <f>E72</f>
        <v>2.2758880523171276E-2</v>
      </c>
      <c r="H43"/>
      <c r="K43" s="1"/>
      <c r="M43" s="4"/>
    </row>
    <row r="44" spans="1:13" x14ac:dyDescent="0.15">
      <c r="A44" s="1">
        <f>B71</f>
        <v>0.2429902598372809</v>
      </c>
      <c r="B44" s="1">
        <f>IF(A71&gt;0,A71,NA())</f>
        <v>0.55000000000000004</v>
      </c>
      <c r="C44" s="1"/>
      <c r="D44" s="1">
        <f>D71</f>
        <v>0.13364464291050451</v>
      </c>
      <c r="E44" s="1">
        <f>E71</f>
        <v>2.2758880523171328E-2</v>
      </c>
      <c r="H44"/>
      <c r="K44" s="1"/>
      <c r="M44" s="4"/>
    </row>
    <row r="45" spans="1:13" x14ac:dyDescent="0.15">
      <c r="A45" s="1">
        <f>B70</f>
        <v>0.26616720689824341</v>
      </c>
      <c r="B45" s="1">
        <f>IF(A70&gt;0,A70,NA())</f>
        <v>0.5</v>
      </c>
      <c r="C45" s="1"/>
      <c r="D45" s="1">
        <f>D70</f>
        <v>0.13308360344912171</v>
      </c>
      <c r="E45" s="1">
        <f>E70</f>
        <v>2.275888052317122E-2</v>
      </c>
      <c r="H45"/>
    </row>
    <row r="46" spans="1:13" x14ac:dyDescent="0.15">
      <c r="A46" s="1">
        <f>B69</f>
        <v>0.29480289138389149</v>
      </c>
      <c r="B46" s="1">
        <f>IF(A69&gt;0,A69,NA())</f>
        <v>0.45</v>
      </c>
      <c r="C46" s="1"/>
      <c r="D46" s="1">
        <f>D69</f>
        <v>0.13266130112275118</v>
      </c>
      <c r="E46" s="1">
        <f>E69</f>
        <v>2.2758880523171297E-2</v>
      </c>
      <c r="H46"/>
    </row>
    <row r="47" spans="1:13" x14ac:dyDescent="0.15">
      <c r="A47" s="1">
        <f>B68</f>
        <v>0.33099826514463132</v>
      </c>
      <c r="B47" s="1">
        <f>IF(A68&gt;0,A68,NA())</f>
        <v>0.4</v>
      </c>
      <c r="C47" s="1"/>
      <c r="D47" s="1">
        <f>D68</f>
        <v>0.13239930605785252</v>
      </c>
      <c r="E47" s="1">
        <f>E68</f>
        <v>2.2758880523171293E-2</v>
      </c>
      <c r="H47"/>
    </row>
    <row r="48" spans="1:13" x14ac:dyDescent="0.15">
      <c r="A48" s="1" t="e">
        <f>IF(A67&gt;B65,B67,NA())</f>
        <v>#N/A</v>
      </c>
      <c r="B48" s="1">
        <f>IF(A67&gt;0,A67,NA())</f>
        <v>0.35</v>
      </c>
      <c r="C48" s="1"/>
      <c r="D48" s="1" t="e">
        <f>D67</f>
        <v>#N/A</v>
      </c>
      <c r="E48" s="1">
        <f>E67</f>
        <v>2.275888052317129E-2</v>
      </c>
      <c r="H48"/>
    </row>
    <row r="49" spans="1:8" x14ac:dyDescent="0.15">
      <c r="A49" s="1" t="e">
        <f>IF(A66&gt;B65,B66,NA())</f>
        <v>#N/A</v>
      </c>
      <c r="B49" s="1">
        <f>IF(A66&gt;0,A66,NA())</f>
        <v>0.3</v>
      </c>
      <c r="C49" s="1"/>
      <c r="D49" s="1" t="e">
        <f>D66</f>
        <v>#N/A</v>
      </c>
      <c r="E49" s="1">
        <f>E66</f>
        <v>2.2758880523171335E-2</v>
      </c>
      <c r="H49"/>
    </row>
    <row r="50" spans="1:8" x14ac:dyDescent="0.15">
      <c r="A50" s="1" t="e">
        <f>IF(A65&gt;B65,B65,NA())</f>
        <v>#N/A</v>
      </c>
      <c r="B50" s="1">
        <f>IF(A65&gt;0,A65,NA())</f>
        <v>0.25</v>
      </c>
      <c r="C50" s="1"/>
      <c r="D50" s="1" t="e">
        <f>IF(D65&lt;D66,D65,"")</f>
        <v>#N/A</v>
      </c>
      <c r="E50" s="1">
        <f>E65</f>
        <v>2.275888052317121E-2</v>
      </c>
      <c r="H50"/>
    </row>
    <row r="51" spans="1:8" x14ac:dyDescent="0.15">
      <c r="A51" s="1" t="e">
        <f>IF(A64&gt;B65,B64,NA())</f>
        <v>#N/A</v>
      </c>
      <c r="B51" s="1">
        <f>IF(A64&gt;0,A64,NA())</f>
        <v>0.2</v>
      </c>
      <c r="C51" s="1"/>
      <c r="D51" s="1" t="e">
        <f>D64</f>
        <v>#N/A</v>
      </c>
      <c r="E51" s="1">
        <f>E64</f>
        <v>2.2758880523171234E-2</v>
      </c>
      <c r="H51"/>
    </row>
    <row r="52" spans="1:8" x14ac:dyDescent="0.15">
      <c r="A52" s="1" t="e">
        <f>B63</f>
        <v>#N/A</v>
      </c>
      <c r="B52" s="1">
        <f>IF(A63&gt;0,A63,NA())</f>
        <v>0.15</v>
      </c>
      <c r="C52" s="1"/>
      <c r="D52" s="1" t="e">
        <f>D63</f>
        <v>#N/A</v>
      </c>
      <c r="E52" s="1">
        <f>E63</f>
        <v>2.275888052317113E-2</v>
      </c>
      <c r="H52"/>
    </row>
    <row r="53" spans="1:8" x14ac:dyDescent="0.15">
      <c r="A53" s="1" t="e">
        <f>B62</f>
        <v>#N/A</v>
      </c>
      <c r="B53" s="1">
        <f>IF(A62&gt;0,A62,NA())</f>
        <v>0.1</v>
      </c>
      <c r="C53" s="1"/>
      <c r="D53" s="1" t="e">
        <f>D62</f>
        <v>#N/A</v>
      </c>
      <c r="E53" s="1">
        <f>E62</f>
        <v>2.2758880523171262E-2</v>
      </c>
      <c r="H53"/>
    </row>
    <row r="54" spans="1:8" x14ac:dyDescent="0.15">
      <c r="A54" s="1" t="e">
        <f>B61</f>
        <v>#N/A</v>
      </c>
      <c r="B54" s="1">
        <f>IF(A61&gt;0,A61,NA())</f>
        <v>7.0000000000000007E-2</v>
      </c>
      <c r="C54" s="1"/>
      <c r="D54" s="1" t="e">
        <f>D61</f>
        <v>#N/A</v>
      </c>
      <c r="E54" s="1" t="str">
        <f>E61</f>
        <v/>
      </c>
      <c r="H54"/>
    </row>
    <row r="55" spans="1:8" x14ac:dyDescent="0.15">
      <c r="A55" s="1" t="e">
        <f>B60</f>
        <v>#N/A</v>
      </c>
      <c r="B55" s="1">
        <f>IF(A60&gt;0,A60,NA())</f>
        <v>0.05</v>
      </c>
      <c r="C55" s="1"/>
      <c r="D55" s="1" t="e">
        <f>D60</f>
        <v>#N/A</v>
      </c>
      <c r="E55" s="1" t="str">
        <f>E60</f>
        <v/>
      </c>
      <c r="H55"/>
    </row>
    <row r="56" spans="1:8" x14ac:dyDescent="0.15">
      <c r="A56" s="1" t="e">
        <f>B59</f>
        <v>#N/A</v>
      </c>
      <c r="B56" s="1">
        <f>IF(A59&gt;0,A59,NA())</f>
        <v>0.03</v>
      </c>
      <c r="C56" s="1"/>
      <c r="D56" s="1" t="e">
        <f>D59</f>
        <v>#N/A</v>
      </c>
      <c r="E56" s="1" t="str">
        <f>E59</f>
        <v/>
      </c>
      <c r="H56"/>
    </row>
    <row r="57" spans="1:8" x14ac:dyDescent="0.15">
      <c r="A57" s="1" t="e">
        <f>B58</f>
        <v>#N/A</v>
      </c>
      <c r="B57" s="1">
        <f>IF(A58&gt;0,A58,NA())</f>
        <v>0.01</v>
      </c>
      <c r="C57" s="1"/>
      <c r="D57" s="1" t="e">
        <f>D58</f>
        <v>#N/A</v>
      </c>
      <c r="E57" s="1" t="str">
        <f>E58</f>
        <v/>
      </c>
      <c r="H57"/>
    </row>
    <row r="58" spans="1:8" x14ac:dyDescent="0.15">
      <c r="A58">
        <f>A3</f>
        <v>0.01</v>
      </c>
      <c r="B58" t="e">
        <f>IF(OR(H3&gt;A3,H3=""),NA(),H3)</f>
        <v>#N/A</v>
      </c>
      <c r="C58"/>
      <c r="D58" t="e">
        <f>IF(B58="","",A58*B58)</f>
        <v>#N/A</v>
      </c>
      <c r="E58" t="str">
        <f>I5</f>
        <v/>
      </c>
      <c r="H58"/>
    </row>
    <row r="59" spans="1:8" x14ac:dyDescent="0.15">
      <c r="A59">
        <f t="shared" ref="A59:A79" si="16">A4</f>
        <v>0.03</v>
      </c>
      <c r="B59" t="e">
        <f t="shared" ref="B59:B79" si="17">IF(OR(H4&gt;A4,H4=""),NA(),H4)</f>
        <v>#N/A</v>
      </c>
      <c r="C59"/>
      <c r="D59" t="e">
        <f t="shared" ref="D59:D79" si="18">IF(B59="","",A59*B59)</f>
        <v>#N/A</v>
      </c>
      <c r="E59" t="str">
        <f t="shared" ref="E59:E79" si="19">I6</f>
        <v/>
      </c>
      <c r="H59"/>
    </row>
    <row r="60" spans="1:8" x14ac:dyDescent="0.15">
      <c r="A60">
        <f t="shared" si="16"/>
        <v>0.05</v>
      </c>
      <c r="B60" t="e">
        <f t="shared" si="17"/>
        <v>#N/A</v>
      </c>
      <c r="C60"/>
      <c r="D60" t="e">
        <f t="shared" si="18"/>
        <v>#N/A</v>
      </c>
      <c r="E60" t="str">
        <f t="shared" si="19"/>
        <v/>
      </c>
      <c r="H60"/>
    </row>
    <row r="61" spans="1:8" x14ac:dyDescent="0.15">
      <c r="A61">
        <f t="shared" si="16"/>
        <v>7.0000000000000007E-2</v>
      </c>
      <c r="B61" t="e">
        <f t="shared" si="17"/>
        <v>#N/A</v>
      </c>
      <c r="C61"/>
      <c r="D61" t="e">
        <f t="shared" si="18"/>
        <v>#N/A</v>
      </c>
      <c r="E61" t="str">
        <f t="shared" si="19"/>
        <v/>
      </c>
      <c r="H61"/>
    </row>
    <row r="62" spans="1:8" x14ac:dyDescent="0.15">
      <c r="A62">
        <f t="shared" si="16"/>
        <v>0.1</v>
      </c>
      <c r="B62" t="e">
        <f t="shared" si="17"/>
        <v>#N/A</v>
      </c>
      <c r="C62"/>
      <c r="D62" t="e">
        <f t="shared" si="18"/>
        <v>#N/A</v>
      </c>
      <c r="E62">
        <f t="shared" si="19"/>
        <v>2.2758880523171262E-2</v>
      </c>
      <c r="H62"/>
    </row>
    <row r="63" spans="1:8" x14ac:dyDescent="0.15">
      <c r="A63">
        <f t="shared" si="16"/>
        <v>0.15</v>
      </c>
      <c r="B63" t="e">
        <f t="shared" si="17"/>
        <v>#N/A</v>
      </c>
      <c r="C63"/>
      <c r="D63" t="e">
        <f t="shared" si="18"/>
        <v>#N/A</v>
      </c>
      <c r="E63">
        <f t="shared" si="19"/>
        <v>2.275888052317113E-2</v>
      </c>
      <c r="H63"/>
    </row>
    <row r="64" spans="1:8" x14ac:dyDescent="0.15">
      <c r="A64">
        <f t="shared" si="16"/>
        <v>0.2</v>
      </c>
      <c r="B64" t="e">
        <f t="shared" si="17"/>
        <v>#N/A</v>
      </c>
      <c r="C64"/>
      <c r="D64" t="e">
        <f t="shared" si="18"/>
        <v>#N/A</v>
      </c>
      <c r="E64">
        <f t="shared" si="19"/>
        <v>2.2758880523171234E-2</v>
      </c>
      <c r="H64"/>
    </row>
    <row r="65" spans="1:8" x14ac:dyDescent="0.15">
      <c r="A65">
        <f t="shared" si="16"/>
        <v>0.25</v>
      </c>
      <c r="B65" t="e">
        <f t="shared" si="17"/>
        <v>#N/A</v>
      </c>
      <c r="C65"/>
      <c r="D65" t="e">
        <f t="shared" si="18"/>
        <v>#N/A</v>
      </c>
      <c r="E65">
        <f t="shared" si="19"/>
        <v>2.275888052317121E-2</v>
      </c>
      <c r="H65"/>
    </row>
    <row r="66" spans="1:8" x14ac:dyDescent="0.15">
      <c r="A66">
        <f t="shared" si="16"/>
        <v>0.3</v>
      </c>
      <c r="B66" t="e">
        <f t="shared" si="17"/>
        <v>#N/A</v>
      </c>
      <c r="C66"/>
      <c r="D66" t="e">
        <f t="shared" si="18"/>
        <v>#N/A</v>
      </c>
      <c r="E66">
        <f t="shared" si="19"/>
        <v>2.2758880523171335E-2</v>
      </c>
      <c r="H66"/>
    </row>
    <row r="67" spans="1:8" x14ac:dyDescent="0.15">
      <c r="A67">
        <f t="shared" si="16"/>
        <v>0.35</v>
      </c>
      <c r="B67" t="e">
        <f t="shared" si="17"/>
        <v>#N/A</v>
      </c>
      <c r="C67"/>
      <c r="D67" t="e">
        <f t="shared" si="18"/>
        <v>#N/A</v>
      </c>
      <c r="E67">
        <f t="shared" si="19"/>
        <v>2.275888052317129E-2</v>
      </c>
      <c r="H67"/>
    </row>
    <row r="68" spans="1:8" x14ac:dyDescent="0.15">
      <c r="A68">
        <f t="shared" si="16"/>
        <v>0.4</v>
      </c>
      <c r="B68">
        <f t="shared" si="17"/>
        <v>0.33099826514463132</v>
      </c>
      <c r="C68"/>
      <c r="D68">
        <f t="shared" si="18"/>
        <v>0.13239930605785252</v>
      </c>
      <c r="E68">
        <f t="shared" si="19"/>
        <v>2.2758880523171293E-2</v>
      </c>
      <c r="H68"/>
    </row>
    <row r="69" spans="1:8" x14ac:dyDescent="0.15">
      <c r="A69" s="3">
        <f t="shared" si="16"/>
        <v>0.45</v>
      </c>
      <c r="B69" s="3">
        <f t="shared" si="17"/>
        <v>0.29480289138389149</v>
      </c>
      <c r="C69" s="3"/>
      <c r="D69" s="3">
        <f t="shared" si="18"/>
        <v>0.13266130112275118</v>
      </c>
      <c r="E69" s="3">
        <f t="shared" si="19"/>
        <v>2.2758880523171297E-2</v>
      </c>
      <c r="H69"/>
    </row>
    <row r="70" spans="1:8" x14ac:dyDescent="0.15">
      <c r="A70" s="3">
        <f t="shared" si="16"/>
        <v>0.5</v>
      </c>
      <c r="B70" s="3">
        <f t="shared" si="17"/>
        <v>0.26616720689824341</v>
      </c>
      <c r="C70" s="3"/>
      <c r="D70" s="3">
        <f t="shared" si="18"/>
        <v>0.13308360344912171</v>
      </c>
      <c r="E70" s="3">
        <f t="shared" si="19"/>
        <v>2.275888052317122E-2</v>
      </c>
      <c r="H70"/>
    </row>
    <row r="71" spans="1:8" x14ac:dyDescent="0.15">
      <c r="A71" s="3">
        <f t="shared" si="16"/>
        <v>0.55000000000000004</v>
      </c>
      <c r="B71" s="3">
        <f t="shared" si="17"/>
        <v>0.2429902598372809</v>
      </c>
      <c r="C71" s="3"/>
      <c r="D71" s="3">
        <f t="shared" si="18"/>
        <v>0.13364464291050451</v>
      </c>
      <c r="E71" s="3">
        <f t="shared" si="19"/>
        <v>2.2758880523171328E-2</v>
      </c>
      <c r="H71"/>
    </row>
    <row r="72" spans="1:8" x14ac:dyDescent="0.15">
      <c r="A72" s="3">
        <f t="shared" si="16"/>
        <v>0.6</v>
      </c>
      <c r="B72" s="3">
        <f t="shared" si="17"/>
        <v>0.22389582838802999</v>
      </c>
      <c r="C72" s="3"/>
      <c r="D72" s="3">
        <f t="shared" si="18"/>
        <v>0.134337497032818</v>
      </c>
      <c r="E72" s="3">
        <f t="shared" si="19"/>
        <v>2.2758880523171276E-2</v>
      </c>
      <c r="H72"/>
    </row>
    <row r="73" spans="1:8" x14ac:dyDescent="0.15">
      <c r="A73" s="3">
        <f t="shared" si="16"/>
        <v>0.65</v>
      </c>
      <c r="B73" s="3">
        <f t="shared" si="17"/>
        <v>0.20794645831447639</v>
      </c>
      <c r="C73" s="3"/>
      <c r="D73" s="3">
        <f t="shared" si="18"/>
        <v>0.13516519790440965</v>
      </c>
      <c r="E73" s="3">
        <f t="shared" si="19"/>
        <v>2.2758880523171154E-2</v>
      </c>
      <c r="H73"/>
    </row>
    <row r="74" spans="1:8" x14ac:dyDescent="0.15">
      <c r="A74" s="3">
        <f t="shared" si="16"/>
        <v>0.7</v>
      </c>
      <c r="B74" s="3">
        <f t="shared" si="17"/>
        <v>0.19448518989788874</v>
      </c>
      <c r="C74" s="3"/>
      <c r="D74" s="3">
        <f t="shared" si="18"/>
        <v>0.1361396329285221</v>
      </c>
      <c r="E74" s="3">
        <f t="shared" si="19"/>
        <v>2.2758880523171224E-2</v>
      </c>
      <c r="H74"/>
    </row>
    <row r="75" spans="1:8" x14ac:dyDescent="0.15">
      <c r="A75" s="3">
        <f t="shared" si="16"/>
        <v>0.75</v>
      </c>
      <c r="B75" s="3">
        <f t="shared" si="17"/>
        <v>0.18304417287509381</v>
      </c>
      <c r="C75" s="3"/>
      <c r="D75" s="3">
        <f t="shared" si="18"/>
        <v>0.13728312965632036</v>
      </c>
      <c r="E75" s="3">
        <f t="shared" si="19"/>
        <v>2.2758880523170998E-2</v>
      </c>
      <c r="H75"/>
    </row>
    <row r="76" spans="1:8" x14ac:dyDescent="0.15">
      <c r="A76" s="3">
        <f t="shared" si="16"/>
        <v>0.8</v>
      </c>
      <c r="B76" s="3">
        <f t="shared" si="17"/>
        <v>0.17329206178246928</v>
      </c>
      <c r="C76" s="3"/>
      <c r="D76" s="3">
        <f t="shared" si="18"/>
        <v>0.13863364942597542</v>
      </c>
      <c r="E76" s="3">
        <f t="shared" si="19"/>
        <v>2.2758880523171158E-2</v>
      </c>
      <c r="H76"/>
    </row>
    <row r="77" spans="1:8" x14ac:dyDescent="0.15">
      <c r="A77" s="3">
        <f t="shared" si="16"/>
        <v>0.85</v>
      </c>
      <c r="B77" s="3">
        <f t="shared" si="17"/>
        <v>0.16500910516910858</v>
      </c>
      <c r="C77" s="3"/>
      <c r="D77" s="3">
        <f t="shared" si="18"/>
        <v>0.14025773939374228</v>
      </c>
      <c r="E77" s="3">
        <f t="shared" si="19"/>
        <v>2.275888052317164E-2</v>
      </c>
    </row>
    <row r="78" spans="1:8" x14ac:dyDescent="0.15">
      <c r="A78" s="3">
        <f t="shared" si="16"/>
        <v>0.9</v>
      </c>
      <c r="B78" s="3">
        <f t="shared" si="17"/>
        <v>0.15809641649360229</v>
      </c>
      <c r="C78" s="3"/>
      <c r="D78" s="3">
        <f t="shared" si="18"/>
        <v>0.14228677484424207</v>
      </c>
      <c r="E78" s="3" t="str">
        <f t="shared" si="19"/>
        <v/>
      </c>
    </row>
    <row r="79" spans="1:8" x14ac:dyDescent="0.15">
      <c r="A79" s="3">
        <f t="shared" si="16"/>
        <v>0.95</v>
      </c>
      <c r="B79" s="3">
        <f t="shared" si="17"/>
        <v>0.15269395233681146</v>
      </c>
      <c r="C79" s="3"/>
      <c r="D79" s="3">
        <f t="shared" si="18"/>
        <v>0.14505925471997089</v>
      </c>
      <c r="E79" s="3">
        <f t="shared" si="19"/>
        <v>0</v>
      </c>
    </row>
    <row r="80" spans="1:8" x14ac:dyDescent="0.15">
      <c r="A80" s="3">
        <v>0</v>
      </c>
      <c r="B80" s="3"/>
      <c r="C80" s="3">
        <v>0</v>
      </c>
      <c r="D80" s="3"/>
      <c r="E80" s="3"/>
    </row>
    <row r="81" spans="1:5" x14ac:dyDescent="0.15">
      <c r="A81" s="3">
        <v>1</v>
      </c>
      <c r="B81" s="3"/>
      <c r="C81" s="3">
        <v>1</v>
      </c>
      <c r="D81" s="3"/>
      <c r="E81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N11"/>
  <sheetViews>
    <sheetView workbookViewId="0">
      <selection activeCell="G3" sqref="G3"/>
    </sheetView>
  </sheetViews>
  <sheetFormatPr baseColWidth="10" defaultColWidth="8.83203125" defaultRowHeight="13" x14ac:dyDescent="0.15"/>
  <cols>
    <col min="1" max="1" width="16.33203125" customWidth="1"/>
    <col min="7" max="7" width="12.6640625" customWidth="1"/>
    <col min="8" max="8" width="26.5" customWidth="1"/>
    <col min="9" max="9" width="22.5" customWidth="1"/>
  </cols>
  <sheetData>
    <row r="1" spans="1:14" ht="27" x14ac:dyDescent="0.25">
      <c r="B1" s="234" t="s">
        <v>164</v>
      </c>
    </row>
    <row r="2" spans="1:14" ht="17" thickBot="1" x14ac:dyDescent="0.25">
      <c r="A2" s="66"/>
      <c r="B2" s="66" t="s">
        <v>1</v>
      </c>
      <c r="C2" s="66" t="s">
        <v>16</v>
      </c>
      <c r="D2" s="66" t="s">
        <v>0</v>
      </c>
      <c r="E2" s="66" t="s">
        <v>2</v>
      </c>
      <c r="F2" s="66" t="s">
        <v>3</v>
      </c>
      <c r="G2" s="66" t="s">
        <v>10</v>
      </c>
      <c r="H2" s="171" t="s">
        <v>4</v>
      </c>
      <c r="I2" s="171"/>
      <c r="J2" s="66"/>
      <c r="K2" s="66"/>
      <c r="L2" s="66"/>
      <c r="M2" s="66"/>
      <c r="N2" s="66"/>
    </row>
    <row r="3" spans="1:14" ht="17" thickBot="1" x14ac:dyDescent="0.25">
      <c r="A3" s="66" t="s">
        <v>11</v>
      </c>
      <c r="B3" s="172">
        <f>Basics!C8</f>
        <v>-1.9602839214158896</v>
      </c>
      <c r="C3" s="173">
        <f>Basics!A8</f>
        <v>7416</v>
      </c>
      <c r="D3" s="163">
        <f>+B3/SQRT(B3*B3+C3)</f>
        <v>-2.275734682169802E-2</v>
      </c>
      <c r="E3" s="172">
        <f>'correlation based'!B12</f>
        <v>-13.249999999999998</v>
      </c>
      <c r="F3" s="66">
        <f>IF(C3&gt;0,+E3/SQRT(C3-2+E3*E3),0)</f>
        <v>-0.15209239801931707</v>
      </c>
      <c r="G3" s="174">
        <v>0.5</v>
      </c>
      <c r="H3" s="171">
        <f>(D3-G3*F3)/(1-G3)</f>
        <v>0.10657770437592103</v>
      </c>
      <c r="I3" s="171"/>
      <c r="J3" s="66"/>
      <c r="K3" s="66"/>
      <c r="L3" s="66"/>
      <c r="M3" s="66"/>
      <c r="N3" s="66"/>
    </row>
    <row r="4" spans="1:14" ht="17" thickBot="1" x14ac:dyDescent="0.25">
      <c r="A4" s="66" t="s">
        <v>12</v>
      </c>
      <c r="B4" s="172">
        <f>Basics!C8</f>
        <v>-1.9602839214158896</v>
      </c>
      <c r="C4" s="175">
        <f>C3/G3</f>
        <v>14832</v>
      </c>
      <c r="D4" s="163">
        <f>+B4/SQRT(B4*B4+C4)</f>
        <v>-1.6093958146844518E-2</v>
      </c>
      <c r="E4" s="172">
        <f>'correlation based'!B12</f>
        <v>-13.249999999999998</v>
      </c>
      <c r="F4" s="66"/>
      <c r="G4" s="174"/>
      <c r="H4" s="171">
        <f>(D4-G3*F3)/(1-G3)</f>
        <v>0.11990448172562804</v>
      </c>
      <c r="I4" s="66"/>
      <c r="J4" s="66"/>
      <c r="K4" s="66"/>
      <c r="L4" s="66"/>
      <c r="M4" s="66"/>
      <c r="N4" s="66"/>
    </row>
    <row r="5" spans="1:14" ht="16" x14ac:dyDescent="0.2">
      <c r="A5" s="66"/>
      <c r="B5" s="66"/>
      <c r="C5" s="66"/>
      <c r="D5" s="66"/>
      <c r="E5" s="66"/>
      <c r="F5" s="66"/>
      <c r="G5" s="66"/>
      <c r="H5" s="176" t="s">
        <v>21</v>
      </c>
      <c r="I5" s="176" t="s">
        <v>22</v>
      </c>
      <c r="J5" s="66"/>
      <c r="K5" s="66"/>
      <c r="L5" s="66"/>
      <c r="M5" s="66"/>
      <c r="N5" s="66"/>
    </row>
    <row r="6" spans="1:14" ht="16" x14ac:dyDescent="0.2">
      <c r="A6" s="66" t="s">
        <v>23</v>
      </c>
      <c r="B6" s="66"/>
      <c r="C6" s="66"/>
      <c r="D6" s="66"/>
      <c r="E6" s="66"/>
      <c r="F6" s="66"/>
      <c r="G6" s="66"/>
      <c r="H6" s="176">
        <f>C3*(C3*F3*F3-2*B3*B3+F3*SQRT(C3*C3*F3*F3+4*B3*B3*(B3*B3-B7)))/(2*B3*B3)</f>
        <v>-7198.7000857698849</v>
      </c>
      <c r="I6" s="176">
        <f>H6/(H6+C3+B7)</f>
        <v>-16.424142127462162</v>
      </c>
      <c r="J6" s="66"/>
      <c r="K6" s="66"/>
      <c r="L6" s="66"/>
      <c r="M6" s="66"/>
      <c r="N6" s="66"/>
    </row>
    <row r="7" spans="1:14" ht="16" x14ac:dyDescent="0.2">
      <c r="A7" s="66" t="s">
        <v>24</v>
      </c>
      <c r="B7" s="174">
        <f>Basics!D4</f>
        <v>221</v>
      </c>
      <c r="C7" s="66"/>
      <c r="D7" s="66"/>
      <c r="E7" s="66"/>
      <c r="F7" s="66" t="s">
        <v>13</v>
      </c>
      <c r="G7" s="66"/>
      <c r="H7" s="66"/>
      <c r="I7" s="66"/>
      <c r="J7" s="66"/>
      <c r="K7" s="66"/>
      <c r="L7" s="66"/>
      <c r="M7" s="66"/>
      <c r="N7" s="66"/>
    </row>
    <row r="8" spans="1:14" ht="16" x14ac:dyDescent="0.2">
      <c r="A8" s="66"/>
      <c r="B8" s="177"/>
      <c r="C8" s="66"/>
      <c r="D8" s="66"/>
      <c r="E8" s="66"/>
      <c r="F8" s="66" t="s">
        <v>14</v>
      </c>
      <c r="G8" s="66"/>
      <c r="H8" s="66"/>
      <c r="I8" s="66"/>
      <c r="J8" s="66"/>
      <c r="K8" s="66"/>
      <c r="L8" s="66"/>
      <c r="M8" s="66"/>
      <c r="N8" s="66"/>
    </row>
    <row r="9" spans="1:14" ht="16" x14ac:dyDescent="0.2">
      <c r="A9" s="66"/>
      <c r="B9" s="178" t="s">
        <v>5</v>
      </c>
      <c r="C9" s="179"/>
      <c r="D9" s="179"/>
      <c r="E9" s="180"/>
      <c r="F9" s="66" t="s">
        <v>15</v>
      </c>
      <c r="G9" s="66"/>
      <c r="H9" s="66"/>
      <c r="I9" s="66"/>
      <c r="J9" s="66"/>
      <c r="K9" s="66"/>
      <c r="L9" s="66"/>
      <c r="M9" s="66"/>
      <c r="N9" s="66"/>
    </row>
    <row r="10" spans="1:14" ht="16" x14ac:dyDescent="0.2">
      <c r="A10" s="66"/>
      <c r="B10" s="161" t="s">
        <v>8</v>
      </c>
      <c r="C10" s="181"/>
      <c r="D10" s="181"/>
      <c r="E10" s="66"/>
      <c r="F10" s="66"/>
      <c r="G10" s="66"/>
      <c r="H10" s="66"/>
      <c r="I10" s="66"/>
      <c r="J10" s="66"/>
      <c r="K10" s="66"/>
      <c r="L10" s="66"/>
      <c r="M10" s="66"/>
      <c r="N10" s="66"/>
    </row>
    <row r="11" spans="1:14" ht="16" x14ac:dyDescent="0.2">
      <c r="A11" s="66"/>
      <c r="B11" s="163" t="s">
        <v>9</v>
      </c>
      <c r="C11" s="163"/>
      <c r="D11" s="163"/>
      <c r="E11" s="163"/>
      <c r="F11" s="163"/>
      <c r="G11" s="163"/>
      <c r="H11" s="163"/>
      <c r="I11" s="66"/>
      <c r="J11" s="66"/>
      <c r="K11" s="66"/>
      <c r="L11" s="66"/>
      <c r="M11" s="66"/>
      <c r="N11" s="66"/>
    </row>
  </sheetData>
  <customSheetViews>
    <customSheetView guid="{0EA9B495-FD28-404D-B849-E5531D863006}">
      <selection activeCell="H3" sqref="H3"/>
      <pageMargins left="0.75" right="0.75" top="1" bottom="1" header="0.5" footer="0.5"/>
      <pageSetup orientation="portrait" r:id="rId1"/>
      <headerFooter alignWithMargins="0"/>
    </customSheetView>
  </customSheetViews>
  <phoneticPr fontId="1" type="noConversion"/>
  <pageMargins left="0.75" right="0.75" top="1" bottom="1" header="0.5" footer="0.5"/>
  <pageSetup orientation="portrait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J101"/>
  <sheetViews>
    <sheetView zoomScaleNormal="100" workbookViewId="0">
      <selection activeCell="I7" sqref="I7"/>
    </sheetView>
  </sheetViews>
  <sheetFormatPr baseColWidth="10" defaultColWidth="8.83203125" defaultRowHeight="13" x14ac:dyDescent="0.15"/>
  <cols>
    <col min="1" max="1" width="14" customWidth="1"/>
    <col min="7" max="7" width="13.5" customWidth="1"/>
  </cols>
  <sheetData>
    <row r="1" spans="1:10" ht="27" x14ac:dyDescent="0.25">
      <c r="G1" s="234" t="s">
        <v>227</v>
      </c>
      <c r="H1" s="2"/>
      <c r="I1" s="2"/>
    </row>
    <row r="2" spans="1:10" ht="16" x14ac:dyDescent="0.2">
      <c r="A2" s="66"/>
      <c r="B2" s="66"/>
      <c r="C2" s="66"/>
      <c r="D2" s="66"/>
      <c r="E2" s="66"/>
      <c r="F2" s="66"/>
      <c r="G2" s="66"/>
      <c r="H2" s="66"/>
      <c r="I2" s="66"/>
      <c r="J2" s="66"/>
    </row>
    <row r="3" spans="1:10" ht="16" x14ac:dyDescent="0.2">
      <c r="A3" s="356" t="s">
        <v>229</v>
      </c>
      <c r="B3" s="356"/>
      <c r="C3" s="356"/>
      <c r="D3" s="356"/>
      <c r="E3" s="66"/>
      <c r="F3" s="66"/>
      <c r="G3" s="66"/>
      <c r="H3" s="66"/>
      <c r="I3" s="66"/>
      <c r="J3" s="66"/>
    </row>
    <row r="4" spans="1:10" ht="16" x14ac:dyDescent="0.2">
      <c r="A4" s="66" t="s">
        <v>17</v>
      </c>
      <c r="B4" s="66"/>
      <c r="C4" s="66"/>
      <c r="D4" s="66"/>
      <c r="E4" s="66"/>
      <c r="F4" s="66"/>
      <c r="G4" s="66"/>
      <c r="H4" s="66" t="s">
        <v>248</v>
      </c>
      <c r="I4" s="66"/>
      <c r="J4" s="66"/>
    </row>
    <row r="5" spans="1:10" ht="17" thickBot="1" x14ac:dyDescent="0.25">
      <c r="A5" s="66"/>
      <c r="B5" s="66"/>
      <c r="C5" s="66" t="s">
        <v>228</v>
      </c>
      <c r="D5" s="66"/>
      <c r="E5" s="66"/>
      <c r="F5" s="89">
        <f>Basics!H4</f>
        <v>0.217</v>
      </c>
      <c r="G5" s="66"/>
      <c r="H5" s="66">
        <f>SQRT(-ABS(A6)*(1-A10*A10)/(F5*F5*(H12*A10*A10+ABS(A6)*(1-A10*A10))))</f>
        <v>4.9910758811980066E-2</v>
      </c>
      <c r="I5" s="66"/>
      <c r="J5" s="66"/>
    </row>
    <row r="6" spans="1:10" ht="18" thickTop="1" thickBot="1" x14ac:dyDescent="0.25">
      <c r="A6" s="222">
        <v>-0.28999999999999998</v>
      </c>
      <c r="B6" s="66"/>
      <c r="C6" s="366">
        <f>'correlation based'!C21</f>
        <v>-0.15208237916975162</v>
      </c>
      <c r="D6" s="66"/>
      <c r="E6" s="66"/>
      <c r="F6" s="66"/>
      <c r="G6" s="66"/>
      <c r="H6" s="66"/>
      <c r="I6" s="66"/>
      <c r="J6" s="66"/>
    </row>
    <row r="7" spans="1:10" ht="17" thickTop="1" x14ac:dyDescent="0.2">
      <c r="A7" s="66"/>
      <c r="B7" s="66"/>
      <c r="C7" s="66"/>
      <c r="D7" s="66"/>
      <c r="E7" s="66"/>
      <c r="F7" s="66"/>
      <c r="G7" s="66"/>
      <c r="H7" s="66"/>
      <c r="I7" s="66"/>
      <c r="J7" s="66"/>
    </row>
    <row r="8" spans="1:10" ht="16" x14ac:dyDescent="0.2">
      <c r="A8" s="66" t="s">
        <v>18</v>
      </c>
      <c r="B8" s="66"/>
      <c r="C8" s="66"/>
      <c r="D8" s="66"/>
      <c r="E8" s="66"/>
      <c r="F8" s="66"/>
      <c r="G8" s="66"/>
      <c r="H8" s="66"/>
      <c r="I8" s="66"/>
      <c r="J8" s="66"/>
    </row>
    <row r="9" spans="1:10" ht="17" thickBot="1" x14ac:dyDescent="0.25">
      <c r="A9" s="66"/>
      <c r="B9" s="66"/>
      <c r="C9" s="66" t="str">
        <f>C5</f>
        <v>from data in basics tab</v>
      </c>
      <c r="D9" s="66"/>
      <c r="E9" s="66"/>
      <c r="F9" s="66"/>
      <c r="G9" s="66"/>
      <c r="H9" s="66"/>
      <c r="I9" s="66"/>
      <c r="J9" s="66"/>
    </row>
    <row r="10" spans="1:10" ht="18" thickTop="1" thickBot="1" x14ac:dyDescent="0.25">
      <c r="A10" s="222">
        <v>0.3</v>
      </c>
      <c r="B10" s="66"/>
      <c r="C10" s="366">
        <f>'correlation based'!B38</f>
        <v>0.48297637104018071</v>
      </c>
      <c r="D10" s="66"/>
      <c r="E10" s="66"/>
      <c r="F10" s="66"/>
      <c r="G10" s="66" t="s">
        <v>28</v>
      </c>
      <c r="H10" s="66" t="s">
        <v>29</v>
      </c>
      <c r="I10" s="66"/>
      <c r="J10" s="66"/>
    </row>
    <row r="11" spans="1:10" ht="18" thickTop="1" thickBot="1" x14ac:dyDescent="0.25">
      <c r="B11" s="66"/>
      <c r="C11" s="66"/>
      <c r="D11" s="66"/>
      <c r="E11" s="66"/>
      <c r="F11" s="66"/>
      <c r="G11" s="66"/>
      <c r="H11" s="66"/>
      <c r="I11" s="66"/>
      <c r="J11" s="66"/>
    </row>
    <row r="12" spans="1:10" ht="18" thickTop="1" thickBot="1" x14ac:dyDescent="0.25">
      <c r="A12" s="66" t="s">
        <v>20</v>
      </c>
      <c r="B12" s="66"/>
      <c r="C12" s="66" t="str">
        <f>C5</f>
        <v>from data in basics tab</v>
      </c>
      <c r="D12" s="66"/>
      <c r="E12" s="66"/>
      <c r="F12" s="66"/>
      <c r="G12" s="223">
        <f>SQRT((ABS(A6)*(1-A10*A10)/ABS(H12)))</f>
        <v>3.2489998461064902E-3</v>
      </c>
      <c r="H12" s="222">
        <v>-25000</v>
      </c>
      <c r="I12" s="66"/>
      <c r="J12" s="66"/>
    </row>
    <row r="13" spans="1:10" ht="18" thickTop="1" thickBot="1" x14ac:dyDescent="0.25">
      <c r="A13" s="222">
        <v>0.02</v>
      </c>
      <c r="B13" s="66"/>
      <c r="C13" s="366">
        <f>'correlation based'!B38*'correlation based'!C38</f>
        <v>0.48190723698563065</v>
      </c>
      <c r="D13" s="66"/>
      <c r="E13" s="66"/>
      <c r="F13" s="66"/>
      <c r="G13" s="66"/>
      <c r="H13" s="66"/>
      <c r="I13" s="66"/>
      <c r="J13" s="66"/>
    </row>
    <row r="14" spans="1:10" ht="17" thickTop="1" x14ac:dyDescent="0.2">
      <c r="A14" s="66" t="s">
        <v>19</v>
      </c>
      <c r="B14" s="66"/>
      <c r="C14" s="66"/>
      <c r="D14" s="66"/>
      <c r="E14" s="66"/>
      <c r="F14" s="66"/>
      <c r="G14" s="66"/>
      <c r="H14" s="66"/>
      <c r="I14" s="66"/>
      <c r="J14" s="66"/>
    </row>
    <row r="15" spans="1:10" ht="16" x14ac:dyDescent="0.2">
      <c r="A15" s="224">
        <f>(A6*(1-A10*A10)/A13)-6</f>
        <v>-19.195</v>
      </c>
      <c r="B15" s="66"/>
      <c r="C15" s="66"/>
      <c r="D15" s="66"/>
      <c r="E15" s="66"/>
      <c r="F15" s="66"/>
      <c r="G15" s="66"/>
      <c r="H15" s="66"/>
      <c r="I15" s="66"/>
      <c r="J15" s="66"/>
    </row>
    <row r="16" spans="1:10" ht="16" x14ac:dyDescent="0.2">
      <c r="A16" s="66"/>
      <c r="B16" s="66"/>
      <c r="C16" s="66"/>
      <c r="D16" s="66"/>
      <c r="E16" s="66"/>
      <c r="F16" s="66"/>
      <c r="G16" s="66"/>
      <c r="H16" s="66"/>
      <c r="I16" s="66"/>
      <c r="J16" s="66"/>
    </row>
    <row r="17" spans="1:10" ht="16" x14ac:dyDescent="0.2">
      <c r="A17" s="66" t="s">
        <v>79</v>
      </c>
      <c r="B17" s="66"/>
      <c r="C17" s="66"/>
      <c r="D17" s="66"/>
      <c r="E17" s="66"/>
      <c r="F17" s="66"/>
      <c r="G17" s="66"/>
      <c r="H17" s="66"/>
      <c r="I17" s="66"/>
      <c r="J17" s="66"/>
    </row>
    <row r="18" spans="1:10" ht="16" x14ac:dyDescent="0.2">
      <c r="A18" s="66" t="s">
        <v>146</v>
      </c>
      <c r="B18" s="66"/>
      <c r="C18" s="66"/>
      <c r="D18" s="66"/>
      <c r="E18" s="66"/>
      <c r="F18" s="66"/>
      <c r="G18" s="66"/>
      <c r="H18" s="66"/>
      <c r="I18" s="66"/>
      <c r="J18" s="66"/>
    </row>
    <row r="19" spans="1:10" ht="18" x14ac:dyDescent="0.2">
      <c r="A19" s="140" t="s">
        <v>142</v>
      </c>
    </row>
    <row r="21" spans="1:10" ht="16" x14ac:dyDescent="0.2">
      <c r="A21" s="66" t="s">
        <v>135</v>
      </c>
      <c r="B21" s="1" t="s">
        <v>19</v>
      </c>
      <c r="C21" s="1" t="s">
        <v>224</v>
      </c>
      <c r="D21" s="1" t="s">
        <v>225</v>
      </c>
      <c r="E21" s="1" t="s">
        <v>223</v>
      </c>
      <c r="F21" s="1" t="s">
        <v>214</v>
      </c>
    </row>
    <row r="22" spans="1:10" x14ac:dyDescent="0.15">
      <c r="A22">
        <v>1E-3</v>
      </c>
      <c r="B22">
        <f>(F22*(1-E22*E22)/A22)-6</f>
        <v>257.89999999999998</v>
      </c>
      <c r="E22">
        <f>A10</f>
        <v>0.3</v>
      </c>
      <c r="F22">
        <f>ABS(A6)</f>
        <v>0.28999999999999998</v>
      </c>
    </row>
    <row r="23" spans="1:10" x14ac:dyDescent="0.15">
      <c r="A23">
        <v>1.1999999999999999E-3</v>
      </c>
      <c r="B23">
        <f t="shared" ref="B23:B42" si="0">(F23*(1-E23*E23)/A23)-6</f>
        <v>213.91666666666666</v>
      </c>
      <c r="E23">
        <f>E22</f>
        <v>0.3</v>
      </c>
      <c r="F23">
        <f>F22</f>
        <v>0.28999999999999998</v>
      </c>
    </row>
    <row r="24" spans="1:10" x14ac:dyDescent="0.15">
      <c r="A24">
        <v>1.4E-3</v>
      </c>
      <c r="B24">
        <f t="shared" si="0"/>
        <v>182.49999999999997</v>
      </c>
      <c r="E24">
        <f t="shared" ref="E24:E44" si="1">E23</f>
        <v>0.3</v>
      </c>
      <c r="F24">
        <f t="shared" ref="F24:F44" si="2">F23</f>
        <v>0.28999999999999998</v>
      </c>
    </row>
    <row r="25" spans="1:10" x14ac:dyDescent="0.15">
      <c r="A25">
        <v>1.6000000000000001E-3</v>
      </c>
      <c r="B25">
        <f t="shared" si="0"/>
        <v>158.93749999999997</v>
      </c>
      <c r="E25">
        <f t="shared" si="1"/>
        <v>0.3</v>
      </c>
      <c r="F25">
        <f t="shared" si="2"/>
        <v>0.28999999999999998</v>
      </c>
    </row>
    <row r="26" spans="1:10" x14ac:dyDescent="0.15">
      <c r="A26">
        <v>1.8E-3</v>
      </c>
      <c r="B26">
        <f t="shared" si="0"/>
        <v>140.61111111111109</v>
      </c>
      <c r="E26">
        <f t="shared" si="1"/>
        <v>0.3</v>
      </c>
      <c r="F26">
        <f t="shared" si="2"/>
        <v>0.28999999999999998</v>
      </c>
    </row>
    <row r="27" spans="1:10" x14ac:dyDescent="0.15">
      <c r="A27">
        <v>2E-3</v>
      </c>
      <c r="B27">
        <f t="shared" si="0"/>
        <v>125.94999999999999</v>
      </c>
      <c r="E27">
        <f t="shared" si="1"/>
        <v>0.3</v>
      </c>
      <c r="F27">
        <f t="shared" si="2"/>
        <v>0.28999999999999998</v>
      </c>
    </row>
    <row r="28" spans="1:10" x14ac:dyDescent="0.15">
      <c r="A28">
        <v>2.2000000000000001E-3</v>
      </c>
      <c r="B28">
        <f t="shared" si="0"/>
        <v>113.95454545454544</v>
      </c>
      <c r="E28">
        <f t="shared" si="1"/>
        <v>0.3</v>
      </c>
      <c r="F28">
        <f t="shared" si="2"/>
        <v>0.28999999999999998</v>
      </c>
    </row>
    <row r="29" spans="1:10" x14ac:dyDescent="0.15">
      <c r="A29">
        <v>2.3999999999999998E-3</v>
      </c>
      <c r="B29">
        <f t="shared" si="0"/>
        <v>103.95833333333333</v>
      </c>
      <c r="E29">
        <f t="shared" si="1"/>
        <v>0.3</v>
      </c>
      <c r="F29">
        <f t="shared" si="2"/>
        <v>0.28999999999999998</v>
      </c>
    </row>
    <row r="30" spans="1:10" x14ac:dyDescent="0.15">
      <c r="A30">
        <v>2.5999999999999999E-3</v>
      </c>
      <c r="B30">
        <f t="shared" si="0"/>
        <v>95.499999999999986</v>
      </c>
      <c r="E30">
        <f t="shared" si="1"/>
        <v>0.3</v>
      </c>
      <c r="F30">
        <f t="shared" si="2"/>
        <v>0.28999999999999998</v>
      </c>
    </row>
    <row r="31" spans="1:10" x14ac:dyDescent="0.15">
      <c r="A31">
        <v>2.8E-3</v>
      </c>
      <c r="B31">
        <f t="shared" si="0"/>
        <v>88.249999999999986</v>
      </c>
      <c r="E31">
        <f t="shared" si="1"/>
        <v>0.3</v>
      </c>
      <c r="F31">
        <f t="shared" si="2"/>
        <v>0.28999999999999998</v>
      </c>
    </row>
    <row r="32" spans="1:10" x14ac:dyDescent="0.15">
      <c r="A32">
        <v>3.0000000000000001E-3</v>
      </c>
      <c r="B32">
        <f t="shared" si="0"/>
        <v>81.966666666666654</v>
      </c>
      <c r="E32">
        <f t="shared" si="1"/>
        <v>0.3</v>
      </c>
      <c r="F32">
        <f t="shared" si="2"/>
        <v>0.28999999999999998</v>
      </c>
    </row>
    <row r="33" spans="1:6" x14ac:dyDescent="0.15">
      <c r="A33">
        <v>3.2000000000000002E-3</v>
      </c>
      <c r="B33">
        <f t="shared" si="0"/>
        <v>76.468749999999986</v>
      </c>
      <c r="E33">
        <f t="shared" si="1"/>
        <v>0.3</v>
      </c>
      <c r="F33">
        <f t="shared" si="2"/>
        <v>0.28999999999999998</v>
      </c>
    </row>
    <row r="34" spans="1:6" x14ac:dyDescent="0.15">
      <c r="A34">
        <v>3.3999999999999998E-3</v>
      </c>
      <c r="B34">
        <f t="shared" si="0"/>
        <v>71.617647058823522</v>
      </c>
      <c r="E34">
        <f t="shared" si="1"/>
        <v>0.3</v>
      </c>
      <c r="F34">
        <f t="shared" si="2"/>
        <v>0.28999999999999998</v>
      </c>
    </row>
    <row r="35" spans="1:6" x14ac:dyDescent="0.15">
      <c r="A35">
        <v>3.5999999999999999E-3</v>
      </c>
      <c r="B35">
        <f t="shared" si="0"/>
        <v>67.305555555555543</v>
      </c>
      <c r="E35">
        <f t="shared" si="1"/>
        <v>0.3</v>
      </c>
      <c r="F35">
        <f t="shared" si="2"/>
        <v>0.28999999999999998</v>
      </c>
    </row>
    <row r="36" spans="1:6" x14ac:dyDescent="0.15">
      <c r="A36">
        <v>3.8E-3</v>
      </c>
      <c r="B36">
        <f t="shared" si="0"/>
        <v>63.44736842105263</v>
      </c>
      <c r="E36">
        <f t="shared" si="1"/>
        <v>0.3</v>
      </c>
      <c r="F36">
        <f t="shared" si="2"/>
        <v>0.28999999999999998</v>
      </c>
    </row>
    <row r="37" spans="1:6" x14ac:dyDescent="0.15">
      <c r="A37">
        <v>4.0000000000000001E-3</v>
      </c>
      <c r="B37">
        <f t="shared" si="0"/>
        <v>59.974999999999994</v>
      </c>
      <c r="E37">
        <f t="shared" si="1"/>
        <v>0.3</v>
      </c>
      <c r="F37">
        <f t="shared" si="2"/>
        <v>0.28999999999999998</v>
      </c>
    </row>
    <row r="38" spans="1:6" x14ac:dyDescent="0.15">
      <c r="A38">
        <v>4.1999999999999997E-3</v>
      </c>
      <c r="B38">
        <f t="shared" si="0"/>
        <v>56.833333333333329</v>
      </c>
      <c r="E38">
        <f t="shared" si="1"/>
        <v>0.3</v>
      </c>
      <c r="F38">
        <f t="shared" si="2"/>
        <v>0.28999999999999998</v>
      </c>
    </row>
    <row r="39" spans="1:6" x14ac:dyDescent="0.15">
      <c r="A39">
        <v>4.4000000000000003E-3</v>
      </c>
      <c r="B39">
        <f t="shared" si="0"/>
        <v>53.97727272727272</v>
      </c>
      <c r="E39">
        <f t="shared" si="1"/>
        <v>0.3</v>
      </c>
      <c r="F39">
        <f t="shared" si="2"/>
        <v>0.28999999999999998</v>
      </c>
    </row>
    <row r="40" spans="1:6" x14ac:dyDescent="0.15">
      <c r="A40">
        <v>4.5999999999999999E-3</v>
      </c>
      <c r="B40">
        <f t="shared" si="0"/>
        <v>51.369565217391298</v>
      </c>
      <c r="E40">
        <f t="shared" si="1"/>
        <v>0.3</v>
      </c>
      <c r="F40">
        <f t="shared" si="2"/>
        <v>0.28999999999999998</v>
      </c>
    </row>
    <row r="41" spans="1:6" x14ac:dyDescent="0.15">
      <c r="A41">
        <v>4.7999999999999996E-3</v>
      </c>
      <c r="B41">
        <f t="shared" si="0"/>
        <v>48.979166666666664</v>
      </c>
      <c r="E41">
        <f>E40</f>
        <v>0.3</v>
      </c>
      <c r="F41">
        <f>F40</f>
        <v>0.28999999999999998</v>
      </c>
    </row>
    <row r="42" spans="1:6" x14ac:dyDescent="0.15">
      <c r="A42">
        <v>5.0000000000000001E-3</v>
      </c>
      <c r="B42">
        <f t="shared" si="0"/>
        <v>46.779999999999994</v>
      </c>
      <c r="E42">
        <f t="shared" si="1"/>
        <v>0.3</v>
      </c>
      <c r="F42">
        <f t="shared" si="2"/>
        <v>0.28999999999999998</v>
      </c>
    </row>
    <row r="43" spans="1:6" x14ac:dyDescent="0.15">
      <c r="A43" t="e">
        <f>IF(A13&gt;0.2,0.2,NA())</f>
        <v>#N/A</v>
      </c>
      <c r="B43" t="e">
        <f>IF(A13&gt;0.2,(F43*(1-E43*E43)/A43)-6,NA())</f>
        <v>#N/A</v>
      </c>
      <c r="E43">
        <f t="shared" si="1"/>
        <v>0.3</v>
      </c>
      <c r="F43">
        <f t="shared" si="2"/>
        <v>0.28999999999999998</v>
      </c>
    </row>
    <row r="44" spans="1:6" x14ac:dyDescent="0.15">
      <c r="A44" t="e">
        <f>IF(A13&gt;0.4,0.4,NA())</f>
        <v>#N/A</v>
      </c>
      <c r="B44" t="e">
        <f>IF(A13&gt;0.4,(F44*(1-E44*E44)/A44)-6,NA())</f>
        <v>#N/A</v>
      </c>
      <c r="E44">
        <f t="shared" si="1"/>
        <v>0.3</v>
      </c>
      <c r="F44">
        <f t="shared" si="2"/>
        <v>0.28999999999999998</v>
      </c>
    </row>
    <row r="46" spans="1:6" x14ac:dyDescent="0.15">
      <c r="A46">
        <f>G12</f>
        <v>3.2489998461064902E-3</v>
      </c>
      <c r="B46">
        <f>(F46*(1-E46*E46)/A46)-6</f>
        <v>75.224996152662271</v>
      </c>
      <c r="C46">
        <v>0</v>
      </c>
      <c r="E46">
        <f>E42</f>
        <v>0.3</v>
      </c>
      <c r="F46">
        <f>F42</f>
        <v>0.28999999999999998</v>
      </c>
    </row>
    <row r="47" spans="1:6" x14ac:dyDescent="0.15">
      <c r="A47">
        <f>A46</f>
        <v>3.2489998461064902E-3</v>
      </c>
      <c r="B47">
        <f>(F47*(1-E47*E47)/A47)-6</f>
        <v>75.224996152662271</v>
      </c>
      <c r="C47">
        <f>B22</f>
        <v>257.89999999999998</v>
      </c>
      <c r="E47">
        <f t="shared" ref="E47" si="3">E46</f>
        <v>0.3</v>
      </c>
      <c r="F47">
        <f t="shared" ref="F47" si="4">F46</f>
        <v>0.28999999999999998</v>
      </c>
    </row>
    <row r="49" spans="1:8" x14ac:dyDescent="0.15">
      <c r="A49">
        <f>ABS(A13)-0.0002</f>
        <v>1.9800000000000002E-2</v>
      </c>
      <c r="D49">
        <f>H49-10</f>
        <v>-29.195</v>
      </c>
      <c r="E49">
        <f>E46</f>
        <v>0.3</v>
      </c>
      <c r="F49">
        <f>F46</f>
        <v>0.28999999999999998</v>
      </c>
      <c r="H49">
        <f>A15</f>
        <v>-19.195</v>
      </c>
    </row>
    <row r="50" spans="1:8" x14ac:dyDescent="0.15">
      <c r="A50">
        <f>ABS(A13)+0.0002</f>
        <v>2.0199999999999999E-2</v>
      </c>
      <c r="D50">
        <f>H50+10</f>
        <v>-9.1950000000000003</v>
      </c>
      <c r="E50">
        <f>E46</f>
        <v>0.3</v>
      </c>
      <c r="F50">
        <f>F46</f>
        <v>0.28999999999999998</v>
      </c>
      <c r="H50">
        <f>A15</f>
        <v>-19.195</v>
      </c>
    </row>
    <row r="52" spans="1:8" x14ac:dyDescent="0.15">
      <c r="A52">
        <f>A49</f>
        <v>1.9800000000000002E-2</v>
      </c>
      <c r="D52">
        <f>D50</f>
        <v>-9.1950000000000003</v>
      </c>
    </row>
    <row r="53" spans="1:8" x14ac:dyDescent="0.15">
      <c r="A53">
        <f>A50</f>
        <v>2.0199999999999999E-2</v>
      </c>
      <c r="D53">
        <f>D49</f>
        <v>-29.195</v>
      </c>
    </row>
    <row r="55" spans="1:8" ht="16" x14ac:dyDescent="0.2">
      <c r="A55" s="66" t="s">
        <v>214</v>
      </c>
      <c r="B55" t="s">
        <v>19</v>
      </c>
      <c r="E55" t="s">
        <v>215</v>
      </c>
      <c r="F55" t="s">
        <v>135</v>
      </c>
      <c r="G55" t="s">
        <v>216</v>
      </c>
    </row>
    <row r="56" spans="1:8" x14ac:dyDescent="0.15">
      <c r="A56">
        <v>2.5000000000000001E-2</v>
      </c>
      <c r="B56">
        <f>(A56*(1-E56*E56)/ABS(F56))-6</f>
        <v>-4.8624999999999998</v>
      </c>
      <c r="E56">
        <f>A10</f>
        <v>0.3</v>
      </c>
      <c r="F56">
        <f>A13</f>
        <v>0.02</v>
      </c>
    </row>
    <row r="57" spans="1:8" x14ac:dyDescent="0.15">
      <c r="A57">
        <v>0.05</v>
      </c>
      <c r="B57">
        <f t="shared" ref="B57:B77" si="5">(A57*(1-E57*E57)/ABS(F57))-6</f>
        <v>-3.7249999999999996</v>
      </c>
      <c r="E57">
        <f>E56</f>
        <v>0.3</v>
      </c>
      <c r="F57">
        <f>F56</f>
        <v>0.02</v>
      </c>
    </row>
    <row r="58" spans="1:8" x14ac:dyDescent="0.15">
      <c r="A58">
        <v>7.4999999999999997E-2</v>
      </c>
      <c r="B58">
        <f t="shared" si="5"/>
        <v>-2.5874999999999999</v>
      </c>
      <c r="E58">
        <f t="shared" ref="E58:E77" si="6">E57</f>
        <v>0.3</v>
      </c>
      <c r="F58">
        <f t="shared" ref="F58:F77" si="7">F57</f>
        <v>0.02</v>
      </c>
    </row>
    <row r="59" spans="1:8" x14ac:dyDescent="0.15">
      <c r="A59">
        <v>0.1</v>
      </c>
      <c r="B59">
        <f t="shared" si="5"/>
        <v>-1.4499999999999993</v>
      </c>
      <c r="E59">
        <f t="shared" si="6"/>
        <v>0.3</v>
      </c>
      <c r="F59">
        <f t="shared" si="7"/>
        <v>0.02</v>
      </c>
    </row>
    <row r="60" spans="1:8" x14ac:dyDescent="0.15">
      <c r="A60">
        <v>0.15</v>
      </c>
      <c r="B60">
        <f t="shared" si="5"/>
        <v>0.82500000000000018</v>
      </c>
      <c r="E60">
        <f t="shared" si="6"/>
        <v>0.3</v>
      </c>
      <c r="F60">
        <f t="shared" si="7"/>
        <v>0.02</v>
      </c>
    </row>
    <row r="61" spans="1:8" x14ac:dyDescent="0.15">
      <c r="A61">
        <v>0.2</v>
      </c>
      <c r="B61">
        <f t="shared" si="5"/>
        <v>3.1000000000000014</v>
      </c>
      <c r="E61">
        <f t="shared" si="6"/>
        <v>0.3</v>
      </c>
      <c r="F61">
        <f t="shared" si="7"/>
        <v>0.02</v>
      </c>
    </row>
    <row r="62" spans="1:8" x14ac:dyDescent="0.15">
      <c r="A62">
        <v>0.25</v>
      </c>
      <c r="B62">
        <f t="shared" si="5"/>
        <v>5.375</v>
      </c>
      <c r="E62">
        <f t="shared" si="6"/>
        <v>0.3</v>
      </c>
      <c r="F62">
        <f t="shared" si="7"/>
        <v>0.02</v>
      </c>
    </row>
    <row r="63" spans="1:8" x14ac:dyDescent="0.15">
      <c r="A63">
        <v>0.3</v>
      </c>
      <c r="B63">
        <f t="shared" si="5"/>
        <v>7.65</v>
      </c>
      <c r="E63">
        <f t="shared" si="6"/>
        <v>0.3</v>
      </c>
      <c r="F63">
        <f t="shared" si="7"/>
        <v>0.02</v>
      </c>
    </row>
    <row r="64" spans="1:8" x14ac:dyDescent="0.15">
      <c r="A64">
        <v>0.35</v>
      </c>
      <c r="B64">
        <f t="shared" si="5"/>
        <v>9.9250000000000007</v>
      </c>
      <c r="E64">
        <f t="shared" si="6"/>
        <v>0.3</v>
      </c>
      <c r="F64">
        <f t="shared" si="7"/>
        <v>0.02</v>
      </c>
    </row>
    <row r="65" spans="1:7" x14ac:dyDescent="0.15">
      <c r="A65">
        <v>0.4</v>
      </c>
      <c r="B65">
        <f t="shared" si="5"/>
        <v>12.200000000000003</v>
      </c>
      <c r="E65">
        <f t="shared" si="6"/>
        <v>0.3</v>
      </c>
      <c r="F65">
        <f t="shared" si="7"/>
        <v>0.02</v>
      </c>
    </row>
    <row r="66" spans="1:7" x14ac:dyDescent="0.15">
      <c r="A66">
        <v>0.45</v>
      </c>
      <c r="B66">
        <f t="shared" si="5"/>
        <v>14.475000000000001</v>
      </c>
      <c r="E66">
        <f t="shared" si="6"/>
        <v>0.3</v>
      </c>
      <c r="F66">
        <f t="shared" si="7"/>
        <v>0.02</v>
      </c>
    </row>
    <row r="67" spans="1:7" x14ac:dyDescent="0.15">
      <c r="A67">
        <v>0.5</v>
      </c>
      <c r="B67">
        <f t="shared" si="5"/>
        <v>16.75</v>
      </c>
      <c r="E67">
        <f t="shared" si="6"/>
        <v>0.3</v>
      </c>
      <c r="F67">
        <f t="shared" si="7"/>
        <v>0.02</v>
      </c>
    </row>
    <row r="68" spans="1:7" x14ac:dyDescent="0.15">
      <c r="A68">
        <v>0.55000000000000004</v>
      </c>
      <c r="B68">
        <f t="shared" si="5"/>
        <v>19.025000000000002</v>
      </c>
      <c r="E68">
        <f t="shared" si="6"/>
        <v>0.3</v>
      </c>
      <c r="F68">
        <f t="shared" si="7"/>
        <v>0.02</v>
      </c>
    </row>
    <row r="69" spans="1:7" x14ac:dyDescent="0.15">
      <c r="A69">
        <v>0.6</v>
      </c>
      <c r="B69">
        <f t="shared" si="5"/>
        <v>21.3</v>
      </c>
      <c r="E69">
        <f t="shared" si="6"/>
        <v>0.3</v>
      </c>
      <c r="F69">
        <f t="shared" si="7"/>
        <v>0.02</v>
      </c>
    </row>
    <row r="70" spans="1:7" x14ac:dyDescent="0.15">
      <c r="A70">
        <v>0.65</v>
      </c>
      <c r="B70">
        <f t="shared" si="5"/>
        <v>23.574999999999999</v>
      </c>
      <c r="E70">
        <f t="shared" si="6"/>
        <v>0.3</v>
      </c>
      <c r="F70">
        <f t="shared" si="7"/>
        <v>0.02</v>
      </c>
    </row>
    <row r="71" spans="1:7" x14ac:dyDescent="0.15">
      <c r="A71">
        <v>0.7</v>
      </c>
      <c r="B71">
        <f t="shared" si="5"/>
        <v>25.85</v>
      </c>
      <c r="E71">
        <f t="shared" si="6"/>
        <v>0.3</v>
      </c>
      <c r="F71">
        <f t="shared" si="7"/>
        <v>0.02</v>
      </c>
    </row>
    <row r="72" spans="1:7" x14ac:dyDescent="0.15">
      <c r="A72">
        <v>0.75</v>
      </c>
      <c r="B72">
        <f t="shared" si="5"/>
        <v>28.125</v>
      </c>
      <c r="E72">
        <f t="shared" si="6"/>
        <v>0.3</v>
      </c>
      <c r="F72">
        <f t="shared" si="7"/>
        <v>0.02</v>
      </c>
    </row>
    <row r="73" spans="1:7" x14ac:dyDescent="0.15">
      <c r="A73">
        <v>0.8</v>
      </c>
      <c r="B73">
        <f t="shared" si="5"/>
        <v>30.400000000000006</v>
      </c>
      <c r="E73">
        <f t="shared" si="6"/>
        <v>0.3</v>
      </c>
      <c r="F73">
        <f t="shared" si="7"/>
        <v>0.02</v>
      </c>
    </row>
    <row r="74" spans="1:7" x14ac:dyDescent="0.15">
      <c r="A74">
        <v>0.85</v>
      </c>
      <c r="B74">
        <f t="shared" si="5"/>
        <v>32.674999999999997</v>
      </c>
      <c r="E74">
        <f t="shared" si="6"/>
        <v>0.3</v>
      </c>
      <c r="F74">
        <f t="shared" si="7"/>
        <v>0.02</v>
      </c>
    </row>
    <row r="75" spans="1:7" x14ac:dyDescent="0.15">
      <c r="A75">
        <v>0.9</v>
      </c>
      <c r="B75">
        <f t="shared" si="5"/>
        <v>34.950000000000003</v>
      </c>
      <c r="E75">
        <f t="shared" si="6"/>
        <v>0.3</v>
      </c>
      <c r="F75">
        <f t="shared" si="7"/>
        <v>0.02</v>
      </c>
    </row>
    <row r="76" spans="1:7" x14ac:dyDescent="0.15">
      <c r="A76">
        <v>0.95</v>
      </c>
      <c r="B76">
        <f t="shared" si="5"/>
        <v>37.224999999999994</v>
      </c>
      <c r="E76">
        <f t="shared" si="6"/>
        <v>0.3</v>
      </c>
      <c r="F76">
        <f t="shared" si="7"/>
        <v>0.02</v>
      </c>
    </row>
    <row r="77" spans="1:7" x14ac:dyDescent="0.15">
      <c r="A77">
        <v>1</v>
      </c>
      <c r="B77">
        <f t="shared" si="5"/>
        <v>39.5</v>
      </c>
      <c r="E77">
        <f t="shared" si="6"/>
        <v>0.3</v>
      </c>
      <c r="F77">
        <f t="shared" si="7"/>
        <v>0.02</v>
      </c>
    </row>
    <row r="79" spans="1:7" ht="16" x14ac:dyDescent="0.2">
      <c r="A79" s="66" t="s">
        <v>214</v>
      </c>
      <c r="B79" t="s">
        <v>216</v>
      </c>
      <c r="E79" t="s">
        <v>215</v>
      </c>
      <c r="F79" t="s">
        <v>135</v>
      </c>
      <c r="G79" t="s">
        <v>29</v>
      </c>
    </row>
    <row r="80" spans="1:7" x14ac:dyDescent="0.15">
      <c r="A80">
        <v>2.5000000000000001E-2</v>
      </c>
      <c r="B80">
        <f>SQRT((ABS(A80)*(1-E80*E80)/ABS(G80)))</f>
        <v>9.5393920141694573E-4</v>
      </c>
      <c r="E80">
        <f>A10</f>
        <v>0.3</v>
      </c>
      <c r="F80">
        <f>A13</f>
        <v>0.02</v>
      </c>
      <c r="G80">
        <f>H12</f>
        <v>-25000</v>
      </c>
    </row>
    <row r="81" spans="1:7" x14ac:dyDescent="0.15">
      <c r="A81">
        <v>0.05</v>
      </c>
      <c r="B81">
        <f t="shared" ref="B81:B101" si="8">SQRT((ABS(A81)*(1-E81*E81)/ABS(G81)))</f>
        <v>1.3490737563232043E-3</v>
      </c>
      <c r="E81">
        <f>E80</f>
        <v>0.3</v>
      </c>
      <c r="F81">
        <f>F80</f>
        <v>0.02</v>
      </c>
      <c r="G81">
        <f>G80</f>
        <v>-25000</v>
      </c>
    </row>
    <row r="82" spans="1:7" x14ac:dyDescent="0.15">
      <c r="A82">
        <v>7.4999999999999997E-2</v>
      </c>
      <c r="B82">
        <f t="shared" si="8"/>
        <v>1.6522711641858306E-3</v>
      </c>
      <c r="E82">
        <f t="shared" ref="E82:E101" si="9">E81</f>
        <v>0.3</v>
      </c>
      <c r="F82">
        <f t="shared" ref="F82:F101" si="10">F81</f>
        <v>0.02</v>
      </c>
      <c r="G82">
        <f t="shared" ref="G82:G101" si="11">G81</f>
        <v>-25000</v>
      </c>
    </row>
    <row r="83" spans="1:7" x14ac:dyDescent="0.15">
      <c r="A83">
        <v>0.1</v>
      </c>
      <c r="B83">
        <f t="shared" si="8"/>
        <v>1.9078784028338915E-3</v>
      </c>
      <c r="E83">
        <f t="shared" si="9"/>
        <v>0.3</v>
      </c>
      <c r="F83">
        <f t="shared" si="10"/>
        <v>0.02</v>
      </c>
      <c r="G83">
        <f t="shared" si="11"/>
        <v>-25000</v>
      </c>
    </row>
    <row r="84" spans="1:7" x14ac:dyDescent="0.15">
      <c r="A84">
        <v>0.15</v>
      </c>
      <c r="B84">
        <f t="shared" si="8"/>
        <v>2.3366642891095844E-3</v>
      </c>
      <c r="E84">
        <f t="shared" si="9"/>
        <v>0.3</v>
      </c>
      <c r="F84">
        <f t="shared" si="10"/>
        <v>0.02</v>
      </c>
      <c r="G84">
        <f t="shared" si="11"/>
        <v>-25000</v>
      </c>
    </row>
    <row r="85" spans="1:7" x14ac:dyDescent="0.15">
      <c r="A85">
        <v>0.2</v>
      </c>
      <c r="B85">
        <f t="shared" si="8"/>
        <v>2.6981475126464085E-3</v>
      </c>
      <c r="E85">
        <f t="shared" si="9"/>
        <v>0.3</v>
      </c>
      <c r="F85">
        <f t="shared" si="10"/>
        <v>0.02</v>
      </c>
      <c r="G85">
        <f t="shared" si="11"/>
        <v>-25000</v>
      </c>
    </row>
    <row r="86" spans="1:7" x14ac:dyDescent="0.15">
      <c r="A86">
        <v>0.25</v>
      </c>
      <c r="B86">
        <f t="shared" si="8"/>
        <v>3.0166206257996714E-3</v>
      </c>
      <c r="E86">
        <f t="shared" si="9"/>
        <v>0.3</v>
      </c>
      <c r="F86">
        <f t="shared" si="10"/>
        <v>0.02</v>
      </c>
      <c r="G86">
        <f t="shared" si="11"/>
        <v>-25000</v>
      </c>
    </row>
    <row r="87" spans="1:7" x14ac:dyDescent="0.15">
      <c r="A87">
        <v>0.3</v>
      </c>
      <c r="B87">
        <f t="shared" si="8"/>
        <v>3.3045423283716612E-3</v>
      </c>
      <c r="E87">
        <f t="shared" si="9"/>
        <v>0.3</v>
      </c>
      <c r="F87">
        <f t="shared" si="10"/>
        <v>0.02</v>
      </c>
      <c r="G87">
        <f t="shared" si="11"/>
        <v>-25000</v>
      </c>
    </row>
    <row r="88" spans="1:7" x14ac:dyDescent="0.15">
      <c r="A88">
        <v>0.35</v>
      </c>
      <c r="B88">
        <f t="shared" si="8"/>
        <v>3.5693136595149493E-3</v>
      </c>
      <c r="E88">
        <f t="shared" si="9"/>
        <v>0.3</v>
      </c>
      <c r="F88">
        <f t="shared" si="10"/>
        <v>0.02</v>
      </c>
      <c r="G88">
        <f t="shared" si="11"/>
        <v>-25000</v>
      </c>
    </row>
    <row r="89" spans="1:7" x14ac:dyDescent="0.15">
      <c r="A89">
        <v>0.4</v>
      </c>
      <c r="B89">
        <f t="shared" si="8"/>
        <v>3.8157568056677829E-3</v>
      </c>
      <c r="E89">
        <f t="shared" si="9"/>
        <v>0.3</v>
      </c>
      <c r="F89">
        <f t="shared" si="10"/>
        <v>0.02</v>
      </c>
      <c r="G89">
        <f t="shared" si="11"/>
        <v>-25000</v>
      </c>
    </row>
    <row r="90" spans="1:7" x14ac:dyDescent="0.15">
      <c r="A90">
        <v>0.45</v>
      </c>
      <c r="B90">
        <f t="shared" si="8"/>
        <v>4.0472212689696124E-3</v>
      </c>
      <c r="E90">
        <f t="shared" si="9"/>
        <v>0.3</v>
      </c>
      <c r="F90">
        <f t="shared" si="10"/>
        <v>0.02</v>
      </c>
      <c r="G90">
        <f t="shared" si="11"/>
        <v>-25000</v>
      </c>
    </row>
    <row r="91" spans="1:7" x14ac:dyDescent="0.15">
      <c r="A91">
        <v>0.5</v>
      </c>
      <c r="B91">
        <f t="shared" si="8"/>
        <v>4.2661458015403088E-3</v>
      </c>
      <c r="E91">
        <f t="shared" si="9"/>
        <v>0.3</v>
      </c>
      <c r="F91">
        <f t="shared" si="10"/>
        <v>0.02</v>
      </c>
      <c r="G91">
        <f t="shared" si="11"/>
        <v>-25000</v>
      </c>
    </row>
    <row r="92" spans="1:7" x14ac:dyDescent="0.15">
      <c r="A92">
        <v>0.55000000000000004</v>
      </c>
      <c r="B92">
        <f t="shared" si="8"/>
        <v>4.474371464239419E-3</v>
      </c>
      <c r="E92">
        <f t="shared" si="9"/>
        <v>0.3</v>
      </c>
      <c r="F92">
        <f t="shared" si="10"/>
        <v>0.02</v>
      </c>
      <c r="G92">
        <f t="shared" si="11"/>
        <v>-25000</v>
      </c>
    </row>
    <row r="93" spans="1:7" x14ac:dyDescent="0.15">
      <c r="A93">
        <v>0.6</v>
      </c>
      <c r="B93">
        <f t="shared" si="8"/>
        <v>4.6733285782191688E-3</v>
      </c>
      <c r="E93">
        <f t="shared" si="9"/>
        <v>0.3</v>
      </c>
      <c r="F93">
        <f t="shared" si="10"/>
        <v>0.02</v>
      </c>
      <c r="G93">
        <f t="shared" si="11"/>
        <v>-25000</v>
      </c>
    </row>
    <row r="94" spans="1:7" x14ac:dyDescent="0.15">
      <c r="A94">
        <v>0.65</v>
      </c>
      <c r="B94">
        <f t="shared" si="8"/>
        <v>4.8641546028061235E-3</v>
      </c>
      <c r="E94">
        <f t="shared" si="9"/>
        <v>0.3</v>
      </c>
      <c r="F94">
        <f t="shared" si="10"/>
        <v>0.02</v>
      </c>
      <c r="G94">
        <f t="shared" si="11"/>
        <v>-25000</v>
      </c>
    </row>
    <row r="95" spans="1:7" x14ac:dyDescent="0.15">
      <c r="A95">
        <v>0.7</v>
      </c>
      <c r="B95">
        <f t="shared" si="8"/>
        <v>5.0477717856495848E-3</v>
      </c>
      <c r="E95">
        <f t="shared" si="9"/>
        <v>0.3</v>
      </c>
      <c r="F95">
        <f t="shared" si="10"/>
        <v>0.02</v>
      </c>
      <c r="G95">
        <f t="shared" si="11"/>
        <v>-25000</v>
      </c>
    </row>
    <row r="96" spans="1:7" x14ac:dyDescent="0.15">
      <c r="A96">
        <v>0.75</v>
      </c>
      <c r="B96">
        <f t="shared" si="8"/>
        <v>5.2249401910452525E-3</v>
      </c>
      <c r="E96">
        <f t="shared" si="9"/>
        <v>0.3</v>
      </c>
      <c r="F96">
        <f t="shared" si="10"/>
        <v>0.02</v>
      </c>
      <c r="G96">
        <f t="shared" si="11"/>
        <v>-25000</v>
      </c>
    </row>
    <row r="97" spans="1:7" x14ac:dyDescent="0.15">
      <c r="A97">
        <v>0.8</v>
      </c>
      <c r="B97">
        <f t="shared" si="8"/>
        <v>5.3962950252928171E-3</v>
      </c>
      <c r="E97">
        <f t="shared" si="9"/>
        <v>0.3</v>
      </c>
      <c r="F97">
        <f t="shared" si="10"/>
        <v>0.02</v>
      </c>
      <c r="G97">
        <f t="shared" si="11"/>
        <v>-25000</v>
      </c>
    </row>
    <row r="98" spans="1:7" x14ac:dyDescent="0.15">
      <c r="A98">
        <v>0.85</v>
      </c>
      <c r="B98">
        <f t="shared" si="8"/>
        <v>5.5623735940693517E-3</v>
      </c>
      <c r="E98">
        <f t="shared" si="9"/>
        <v>0.3</v>
      </c>
      <c r="F98">
        <f t="shared" si="10"/>
        <v>0.02</v>
      </c>
      <c r="G98">
        <f t="shared" si="11"/>
        <v>-25000</v>
      </c>
    </row>
    <row r="99" spans="1:7" x14ac:dyDescent="0.15">
      <c r="A99">
        <v>0.9</v>
      </c>
      <c r="B99">
        <f t="shared" si="8"/>
        <v>5.7236352085016746E-3</v>
      </c>
      <c r="E99">
        <f t="shared" si="9"/>
        <v>0.3</v>
      </c>
      <c r="F99">
        <f t="shared" si="10"/>
        <v>0.02</v>
      </c>
      <c r="G99">
        <f t="shared" si="11"/>
        <v>-25000</v>
      </c>
    </row>
    <row r="100" spans="1:7" x14ac:dyDescent="0.15">
      <c r="A100">
        <v>0.95</v>
      </c>
      <c r="B100">
        <f t="shared" si="8"/>
        <v>5.8804761711956626E-3</v>
      </c>
      <c r="E100">
        <f t="shared" si="9"/>
        <v>0.3</v>
      </c>
      <c r="F100">
        <f t="shared" si="10"/>
        <v>0.02</v>
      </c>
      <c r="G100">
        <f t="shared" si="11"/>
        <v>-25000</v>
      </c>
    </row>
    <row r="101" spans="1:7" x14ac:dyDescent="0.15">
      <c r="A101">
        <v>1</v>
      </c>
      <c r="B101">
        <f t="shared" si="8"/>
        <v>6.0332412515993429E-3</v>
      </c>
      <c r="E101">
        <f t="shared" si="9"/>
        <v>0.3</v>
      </c>
      <c r="F101">
        <f t="shared" si="10"/>
        <v>0.02</v>
      </c>
      <c r="G101">
        <f t="shared" si="11"/>
        <v>-25000</v>
      </c>
    </row>
  </sheetData>
  <customSheetViews>
    <customSheetView guid="{0EA9B495-FD28-404D-B849-E5531D863006}">
      <selection activeCell="A13" sqref="A13"/>
      <pageMargins left="0.75" right="0.75" top="1" bottom="1" header="0.5" footer="0.5"/>
      <headerFooter alignWithMargins="0"/>
    </customSheetView>
  </customSheetView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Basics</vt:lpstr>
      <vt:lpstr>replacement of cases</vt:lpstr>
      <vt:lpstr>Coeff of proportionality</vt:lpstr>
      <vt:lpstr>correlation based</vt:lpstr>
      <vt:lpstr>impact figure</vt:lpstr>
      <vt:lpstr>Range of threshol plot</vt:lpstr>
      <vt:lpstr>impact curve</vt:lpstr>
      <vt:lpstr>attrition</vt:lpstr>
      <vt:lpstr>effective n</vt:lpstr>
      <vt:lpstr>differential attrition</vt:lpstr>
      <vt:lpstr>partial correlation</vt:lpstr>
      <vt:lpstr>testing independent betas</vt:lpstr>
    </vt:vector>
  </TitlesOfParts>
  <Company>Michigan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Education</dc:creator>
  <cp:lastModifiedBy>Bret Staudt Willet</cp:lastModifiedBy>
  <dcterms:created xsi:type="dcterms:W3CDTF">2005-04-26T13:01:58Z</dcterms:created>
  <dcterms:modified xsi:type="dcterms:W3CDTF">2024-03-07T06:09:03Z</dcterms:modified>
</cp:coreProperties>
</file>